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R144" i="1" l="1"/>
  <c r="R130" i="1"/>
  <c r="Q130" i="1"/>
  <c r="P130" i="1"/>
  <c r="O188" i="1" l="1"/>
  <c r="N188" i="1"/>
  <c r="O168" i="1"/>
  <c r="N168" i="1"/>
  <c r="O165" i="1"/>
  <c r="N165" i="1"/>
  <c r="O158" i="1"/>
  <c r="N158" i="1"/>
  <c r="O125" i="1"/>
  <c r="N125" i="1"/>
  <c r="O151" i="1"/>
  <c r="N151" i="1"/>
  <c r="O138" i="1"/>
  <c r="O144" i="1" s="1"/>
  <c r="N138" i="1"/>
  <c r="N144" i="1" s="1"/>
  <c r="O155" i="1"/>
  <c r="N155" i="1"/>
  <c r="S153" i="1"/>
  <c r="O149" i="1"/>
  <c r="N149" i="1"/>
  <c r="O130" i="1"/>
  <c r="N130" i="1"/>
  <c r="O122" i="1"/>
  <c r="N122" i="1"/>
  <c r="O117" i="1"/>
  <c r="N117" i="1"/>
  <c r="O115" i="1"/>
  <c r="N115" i="1"/>
  <c r="H20" i="3"/>
  <c r="G20" i="3"/>
  <c r="H19" i="3"/>
  <c r="G19" i="3"/>
  <c r="C19" i="3"/>
  <c r="O75" i="1"/>
  <c r="N75" i="1"/>
  <c r="O59" i="1"/>
  <c r="N59" i="1"/>
  <c r="O55" i="1"/>
  <c r="N55" i="1"/>
  <c r="O47" i="1"/>
  <c r="N47" i="1"/>
  <c r="S10" i="1"/>
  <c r="R10" i="1"/>
  <c r="Q10" i="1"/>
  <c r="O32" i="1"/>
  <c r="N32" i="1"/>
  <c r="O25" i="1"/>
  <c r="N25" i="1"/>
  <c r="O11" i="1"/>
  <c r="O10" i="1" s="1"/>
  <c r="N11" i="1"/>
  <c r="N10" i="1" s="1"/>
  <c r="R188" i="1" l="1"/>
  <c r="Q188" i="1"/>
  <c r="P188" i="1"/>
  <c r="P168" i="1"/>
  <c r="Q158" i="1"/>
  <c r="P158" i="1"/>
  <c r="Q138" i="1"/>
  <c r="Q144" i="1" s="1"/>
  <c r="R155" i="1"/>
  <c r="R153" i="1" s="1"/>
  <c r="Q155" i="1"/>
  <c r="Q153" i="1" s="1"/>
  <c r="P155" i="1"/>
  <c r="P153" i="1" s="1"/>
  <c r="R115" i="1" l="1"/>
  <c r="Q115" i="1"/>
  <c r="P115" i="1"/>
  <c r="E20" i="3"/>
  <c r="D20" i="3"/>
  <c r="C20" i="3"/>
  <c r="E19" i="3"/>
  <c r="D19" i="3"/>
  <c r="P75" i="1"/>
  <c r="P55" i="1"/>
  <c r="P25" i="1" l="1"/>
  <c r="P24" i="1" s="1"/>
  <c r="P11" i="1"/>
  <c r="P10" i="1" s="1"/>
  <c r="S144" i="1" l="1"/>
  <c r="P138" i="1" l="1"/>
  <c r="P144" i="1" s="1"/>
  <c r="S188" i="1" l="1"/>
  <c r="S168" i="1"/>
  <c r="R168" i="1"/>
  <c r="Q168" i="1"/>
  <c r="S165" i="1"/>
  <c r="R165" i="1"/>
  <c r="Q165" i="1"/>
  <c r="P165" i="1"/>
  <c r="S158" i="1"/>
  <c r="R158" i="1"/>
  <c r="P122" i="1" l="1"/>
  <c r="R117" i="1" l="1"/>
  <c r="Q117" i="1"/>
  <c r="P117" i="1"/>
  <c r="S75" i="1" l="1"/>
  <c r="R75" i="1"/>
  <c r="Q75" i="1"/>
  <c r="P65" i="1"/>
  <c r="R65" i="1"/>
  <c r="Q65" i="1"/>
  <c r="R59" i="1"/>
  <c r="Q59" i="1"/>
  <c r="P59" i="1"/>
  <c r="R55" i="1"/>
  <c r="Q55" i="1"/>
  <c r="P47" i="1"/>
  <c r="R25" i="1"/>
  <c r="Q25" i="1"/>
  <c r="S121" i="1" l="1"/>
  <c r="R179" i="1" l="1"/>
  <c r="O157" i="1" l="1"/>
  <c r="N157" i="1"/>
  <c r="N121" i="1" l="1"/>
  <c r="O121" i="1"/>
  <c r="S24" i="1"/>
  <c r="O24" i="1"/>
  <c r="N24" i="1"/>
  <c r="P179" i="1" l="1"/>
  <c r="Q157" i="1"/>
  <c r="P157" i="1"/>
  <c r="P121" i="1"/>
  <c r="P58" i="1" l="1"/>
  <c r="S32" i="1"/>
  <c r="R32" i="1"/>
  <c r="Q32" i="1"/>
  <c r="P32" i="1"/>
  <c r="O34" i="1" l="1"/>
  <c r="N34" i="1"/>
  <c r="S34" i="1"/>
  <c r="R34" i="1"/>
  <c r="Q34" i="1"/>
  <c r="P34" i="1"/>
  <c r="S157" i="1" l="1"/>
  <c r="R157" i="1"/>
  <c r="R121" i="1" l="1"/>
  <c r="Q121" i="1"/>
  <c r="R24" i="1" l="1"/>
  <c r="Q24" i="1"/>
  <c r="N173" i="1" l="1"/>
  <c r="S103" i="1" l="1"/>
  <c r="R103" i="1"/>
  <c r="Q103" i="1"/>
  <c r="P103" i="1"/>
  <c r="O103" i="1"/>
  <c r="N103" i="1"/>
  <c r="S85" i="1"/>
  <c r="R85" i="1"/>
  <c r="Q85" i="1" l="1"/>
  <c r="S217" i="1" l="1"/>
  <c r="R217" i="1"/>
  <c r="Q217" i="1"/>
  <c r="P217" i="1"/>
  <c r="O217" i="1"/>
  <c r="N217" i="1"/>
  <c r="R223" i="1"/>
  <c r="Q223" i="1"/>
  <c r="P85" i="1" l="1"/>
  <c r="S107" i="1"/>
  <c r="R107" i="1"/>
  <c r="Q107" i="1"/>
  <c r="P107" i="1"/>
  <c r="O107" i="1"/>
  <c r="N107" i="1"/>
  <c r="S114" i="1"/>
  <c r="S219" i="1" s="1"/>
  <c r="R114" i="1"/>
  <c r="R219" i="1" s="1"/>
  <c r="Q114" i="1"/>
  <c r="Q219" i="1" s="1"/>
  <c r="P114" i="1"/>
  <c r="P219" i="1" s="1"/>
  <c r="P84" i="1" l="1"/>
  <c r="O114" i="1" l="1"/>
  <c r="O219" i="1" s="1"/>
  <c r="N114" i="1"/>
  <c r="N219" i="1" s="1"/>
  <c r="S62" i="1" l="1"/>
  <c r="R62" i="1"/>
  <c r="Q62" i="1"/>
  <c r="P62" i="1"/>
  <c r="O62" i="1"/>
  <c r="N62" i="1"/>
  <c r="O64" i="1" l="1"/>
  <c r="O85" i="1" l="1"/>
  <c r="O84" i="1" s="1"/>
  <c r="N85" i="1"/>
  <c r="N84" i="1" s="1"/>
  <c r="N64" i="1"/>
  <c r="S196" i="1" l="1"/>
  <c r="R196" i="1"/>
  <c r="Q196" i="1"/>
  <c r="P196" i="1"/>
  <c r="O196" i="1"/>
  <c r="N196" i="1"/>
  <c r="S223" i="1" l="1"/>
  <c r="S64" i="1" l="1"/>
  <c r="P64" i="1" l="1"/>
  <c r="R64" i="1"/>
  <c r="Q64" i="1"/>
  <c r="N46" i="1" l="1"/>
  <c r="S54" i="1" l="1"/>
  <c r="R54" i="1"/>
  <c r="Q54" i="1"/>
  <c r="P54" i="1"/>
  <c r="O54" i="1"/>
  <c r="N54"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3" i="1" l="1"/>
  <c r="R173" i="1"/>
  <c r="Q173" i="1"/>
  <c r="P173" i="1"/>
  <c r="P156" i="1" s="1"/>
  <c r="O173" i="1"/>
  <c r="H36" i="2" l="1"/>
  <c r="G36" i="2"/>
  <c r="F36" i="2"/>
  <c r="E36" i="2"/>
  <c r="D36" i="2"/>
  <c r="C36" i="2"/>
  <c r="H35" i="2"/>
  <c r="G35" i="2"/>
  <c r="F35" i="2"/>
  <c r="E35" i="2"/>
  <c r="D35" i="2"/>
  <c r="C35" i="2"/>
  <c r="H33" i="2"/>
  <c r="G33" i="2"/>
  <c r="F33" i="2"/>
  <c r="E33" i="2"/>
  <c r="D33" i="2"/>
  <c r="C33" i="2"/>
  <c r="B32" i="2"/>
  <c r="S204" i="1"/>
  <c r="S195" i="1" s="1"/>
  <c r="R204" i="1"/>
  <c r="R195" i="1" s="1"/>
  <c r="Q204" i="1"/>
  <c r="Q195" i="1" s="1"/>
  <c r="P204" i="1"/>
  <c r="O204" i="1"/>
  <c r="N204" i="1"/>
  <c r="P208" i="1"/>
  <c r="Q208" i="1"/>
  <c r="S179" i="1"/>
  <c r="S192" i="1"/>
  <c r="R192" i="1"/>
  <c r="Q192" i="1"/>
  <c r="P192" i="1"/>
  <c r="P178" i="1" s="1"/>
  <c r="O192" i="1"/>
  <c r="N192" i="1"/>
  <c r="O156" i="1"/>
  <c r="S148" i="1"/>
  <c r="R148" i="1"/>
  <c r="Q148" i="1"/>
  <c r="P148" i="1"/>
  <c r="O148" i="1"/>
  <c r="N148" i="1"/>
  <c r="S84" i="1"/>
  <c r="F17" i="2"/>
  <c r="E17" i="2"/>
  <c r="P9" i="1" l="1"/>
  <c r="Q9" i="1"/>
  <c r="R9" i="1"/>
  <c r="S9" i="1"/>
  <c r="N9" i="1"/>
  <c r="P207" i="1"/>
  <c r="Q207" i="1"/>
  <c r="G17" i="2"/>
  <c r="S178" i="1"/>
  <c r="N156" i="1"/>
  <c r="R61" i="1"/>
  <c r="P61" i="1"/>
  <c r="S61" i="1"/>
  <c r="H45" i="2"/>
  <c r="G45" i="2"/>
  <c r="F45" i="2"/>
  <c r="E45" i="2"/>
  <c r="D45" i="2"/>
  <c r="C45" i="2"/>
  <c r="Q84" i="1" l="1"/>
  <c r="R84" i="1"/>
  <c r="O61" i="1" l="1"/>
  <c r="N61"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8" i="1" l="1"/>
  <c r="Q179" i="1"/>
  <c r="Q178" i="1" s="1"/>
  <c r="G41" i="2"/>
  <c r="G15" i="2"/>
  <c r="F15" i="2"/>
  <c r="P195" i="1"/>
  <c r="E27" i="2" l="1"/>
  <c r="E8" i="2" s="1"/>
  <c r="F20" i="2"/>
  <c r="G20" i="2"/>
  <c r="F40" i="2"/>
  <c r="G40" i="2"/>
  <c r="O195" i="1"/>
  <c r="D29" i="2"/>
  <c r="C29" i="2"/>
  <c r="O179" i="1"/>
  <c r="N179" i="1"/>
  <c r="D22" i="2"/>
  <c r="C22" i="2"/>
  <c r="O178" i="1" l="1"/>
  <c r="N178" i="1"/>
  <c r="N195" i="1"/>
  <c r="C20" i="2"/>
  <c r="D20" i="2"/>
  <c r="C27" i="2"/>
  <c r="D27" i="2"/>
  <c r="D15" i="2"/>
  <c r="C15" i="2"/>
  <c r="C8" i="2" l="1"/>
  <c r="D8" i="2"/>
  <c r="O9" i="1" l="1"/>
  <c r="F37" i="2"/>
  <c r="G37" i="2"/>
  <c r="E37" i="2"/>
  <c r="E48" i="2" s="1"/>
  <c r="H37" i="2"/>
  <c r="D37" i="2"/>
  <c r="D48" i="2" s="1"/>
  <c r="C37" i="2"/>
  <c r="C48" i="2" s="1"/>
  <c r="Q156" i="1" l="1"/>
  <c r="G8" i="2"/>
  <c r="G48" i="2" s="1"/>
  <c r="G50" i="2" s="1"/>
  <c r="G53" i="2" s="1"/>
  <c r="R156" i="1"/>
  <c r="Q61" i="1"/>
  <c r="E50" i="2"/>
  <c r="E53" i="2" s="1"/>
  <c r="S156" i="1" l="1"/>
  <c r="F8" i="2"/>
  <c r="F48" i="2" s="1"/>
  <c r="F50" i="2" s="1"/>
  <c r="F53" i="2" s="1"/>
  <c r="H8" i="2" l="1"/>
  <c r="H48" i="2" s="1"/>
  <c r="H50" i="2" s="1"/>
  <c r="H53" i="2" s="1"/>
  <c r="C50" i="2"/>
  <c r="C53" i="2" s="1"/>
  <c r="D50" i="2"/>
  <c r="D53" i="2" s="1"/>
  <c r="S212" i="1" l="1"/>
  <c r="S211" i="1" s="1"/>
  <c r="R212" i="1"/>
  <c r="R211" i="1" s="1"/>
  <c r="Q212" i="1"/>
  <c r="Q216" i="1" s="1"/>
  <c r="P212" i="1"/>
  <c r="P216" i="1" s="1"/>
  <c r="O212" i="1"/>
  <c r="N212" i="1"/>
  <c r="S208" i="1"/>
  <c r="S216" i="1" s="1"/>
  <c r="R208" i="1"/>
  <c r="O208" i="1"/>
  <c r="O216" i="1" s="1"/>
  <c r="N208" i="1"/>
  <c r="N216" i="1" s="1"/>
  <c r="R120" i="1"/>
  <c r="Q120" i="1"/>
  <c r="P120" i="1"/>
  <c r="O153" i="1"/>
  <c r="N153" i="1"/>
  <c r="S74" i="1"/>
  <c r="S73" i="1" s="1"/>
  <c r="R74" i="1"/>
  <c r="R73" i="1" s="1"/>
  <c r="Q74" i="1"/>
  <c r="Q73" i="1" s="1"/>
  <c r="P74" i="1"/>
  <c r="P73" i="1" s="1"/>
  <c r="O74" i="1"/>
  <c r="N74" i="1"/>
  <c r="N215" i="1" s="1"/>
  <c r="S58" i="1"/>
  <c r="S218" i="1" s="1"/>
  <c r="R58" i="1"/>
  <c r="R218" i="1" s="1"/>
  <c r="Q58" i="1"/>
  <c r="Q218" i="1" s="1"/>
  <c r="P218" i="1"/>
  <c r="O58" i="1"/>
  <c r="O218" i="1" s="1"/>
  <c r="N58" i="1"/>
  <c r="S46" i="1"/>
  <c r="S215" i="1" s="1"/>
  <c r="R46" i="1"/>
  <c r="R215" i="1" s="1"/>
  <c r="Q46" i="1"/>
  <c r="P46" i="1"/>
  <c r="P215" i="1" s="1"/>
  <c r="O46" i="1"/>
  <c r="O215" i="1" l="1"/>
  <c r="O220" i="1" s="1"/>
  <c r="R216" i="1"/>
  <c r="R220" i="1" s="1"/>
  <c r="R226" i="1" s="1"/>
  <c r="S220" i="1"/>
  <c r="S226" i="1" s="1"/>
  <c r="Q215" i="1"/>
  <c r="N45" i="1"/>
  <c r="N218" i="1"/>
  <c r="N220" i="1" s="1"/>
  <c r="P211" i="1"/>
  <c r="Q211" i="1"/>
  <c r="O120" i="1"/>
  <c r="N120" i="1"/>
  <c r="S120" i="1"/>
  <c r="O73" i="1"/>
  <c r="N211" i="1"/>
  <c r="O211" i="1"/>
  <c r="Q45" i="1"/>
  <c r="R45" i="1"/>
  <c r="N73" i="1"/>
  <c r="P45" i="1"/>
  <c r="S45" i="1"/>
  <c r="O45" i="1"/>
  <c r="S207" i="1"/>
  <c r="R207" i="1"/>
  <c r="N207" i="1"/>
  <c r="O207" i="1"/>
  <c r="P220" i="1" l="1"/>
  <c r="P221" i="1"/>
  <c r="P224" i="1" s="1"/>
  <c r="Q220" i="1"/>
  <c r="N221" i="1"/>
  <c r="N224" i="1" s="1"/>
  <c r="S224" i="1"/>
  <c r="R221" i="1"/>
  <c r="S221" i="1"/>
  <c r="O221" i="1"/>
  <c r="Q221" i="1"/>
  <c r="Q226" i="1" l="1"/>
  <c r="O224" i="1"/>
  <c r="O222" i="1"/>
  <c r="R224" i="1"/>
  <c r="Q224" i="1"/>
  <c r="S222" i="1"/>
  <c r="N222" i="1"/>
  <c r="R222" i="1"/>
  <c r="Q222" i="1"/>
  <c r="P222" i="1"/>
</calcChain>
</file>

<file path=xl/comments1.xml><?xml version="1.0" encoding="utf-8"?>
<comments xmlns="http://schemas.openxmlformats.org/spreadsheetml/2006/main">
  <authors>
    <author>121</author>
  </authors>
  <commentList>
    <comment ref="K108" authorId="0">
      <text>
        <r>
          <rPr>
            <b/>
            <sz val="9"/>
            <color indexed="81"/>
            <rFont val="Tahoma"/>
            <family val="2"/>
            <charset val="204"/>
          </rPr>
          <t>121:</t>
        </r>
        <r>
          <rPr>
            <sz val="9"/>
            <color indexed="81"/>
            <rFont val="Tahoma"/>
            <family val="2"/>
            <charset val="204"/>
          </rPr>
          <t xml:space="preserve">
переработать 
</t>
        </r>
      </text>
    </comment>
    <comment ref="K110" authorId="0">
      <text>
        <r>
          <rPr>
            <b/>
            <sz val="9"/>
            <color indexed="81"/>
            <rFont val="Tahoma"/>
            <family val="2"/>
            <charset val="204"/>
          </rPr>
          <t>121:</t>
        </r>
        <r>
          <rPr>
            <sz val="9"/>
            <color indexed="81"/>
            <rFont val="Tahoma"/>
            <family val="2"/>
            <charset val="204"/>
          </rPr>
          <t xml:space="preserve">
переработать
МКУ УО</t>
        </r>
      </text>
    </comment>
    <comment ref="K111"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<sst xmlns="http://schemas.openxmlformats.org/spreadsheetml/2006/main" count="1099" uniqueCount="591">
  <si>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</si>
  <si>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</si>
  <si>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</si>
  <si>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</si>
  <si>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</si>
  <si>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</si>
  <si>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</si>
  <si>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</si>
  <si>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</si>
  <si>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</si>
  <si>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</si>
  <si>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</si>
  <si>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</si>
  <si>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</si>
  <si>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</si>
  <si>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</si>
  <si>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</si>
  <si>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</si>
  <si>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</si>
  <si>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</si>
  <si>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</si>
  <si>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</si>
  <si>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</si>
  <si>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</si>
  <si>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</si>
  <si>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</si>
  <si>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</si>
  <si>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</si>
  <si>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</si>
  <si>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</si>
  <si>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</si>
  <si>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</si>
  <si>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</si>
  <si>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</si>
  <si>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</si>
  <si>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</si>
  <si>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</si>
  <si>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</si>
  <si>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</si>
  <si>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</si>
  <si>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</si>
  <si>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</si>
  <si>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</si>
  <si>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</si>
  <si>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</si>
  <si>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</si>
  <si>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</si>
  <si>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</si>
  <si>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</si>
  <si>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</si>
  <si>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</si>
  <si>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</si>
  <si>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</si>
  <si>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</si>
  <si>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</si>
  <si>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</si>
  <si>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</si>
  <si>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</si>
  <si>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</si>
  <si>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</si>
  <si>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</si>
  <si>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</si>
  <si>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</si>
  <si>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</si>
  <si>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</si>
  <si>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</si>
  <si>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</si>
  <si>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</si>
  <si>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</si>
  <si>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</si>
  <si>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</si>
  <si>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</si>
  <si>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</si>
  <si>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</si>
  <si>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</si>
  <si>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</si>
  <si>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</si>
  <si>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</si>
  <si>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</si>
  <si>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</si>
  <si>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</si>
  <si>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</si>
  <si>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</si>
  <si>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</si>
  <si>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</si>
  <si>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</si>
  <si>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</si>
  <si>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</si>
  <si>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</si>
  <si>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</si>
  <si>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</si>
  <si>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</si>
  <si>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</si>
  <si>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</si>
  <si>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</si>
  <si>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</si>
  <si>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</si>
  <si>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</si>
  <si>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</si>
  <si>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</si>
  <si>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</si>
  <si>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</si>
  <si>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</si>
  <si>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</si>
  <si>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</si>
  <si>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</si>
  <si>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</si>
  <si>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</si>
  <si>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</si>
  <si>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</si>
  <si>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</si>
  <si>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</si>
  <si>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</si>
  <si>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</si>
  <si>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</si>
  <si>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</si>
  <si>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</si>
  <si>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</si>
  <si>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</si>
  <si>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</si>
  <si>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</si>
  <si>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</si>
  <si>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</si>
  <si>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</si>
  <si>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</si>
  <si>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</si>
  <si>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</si>
  <si>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</si>
  <si>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</si>
  <si>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</si>
  <si>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</si>
  <si>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</si>
  <si>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</si>
  <si>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</si>
  <si>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</si>
  <si>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</si>
  <si>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</si>
  <si>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</si>
  <si>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</si>
  <si>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</si>
  <si>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</si>
  <si>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</si>
  <si>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</si>
  <si>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</si>
  <si>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</si>
  <si>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</si>
  <si>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</si>
  <si>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</si>
  <si>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</si>
  <si>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</si>
  <si>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</si>
  <si>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</si>
  <si>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</si>
  <si>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</si>
  <si>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</si>
  <si>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</si>
  <si>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</si>
  <si>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</si>
  <si>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</si>
  <si>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</si>
  <si>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</si>
  <si>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</si>
  <si>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</si>
  <si>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</si>
  <si>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</si>
  <si>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</si>
  <si>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</si>
  <si>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</si>
  <si>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</si>
  <si>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</si>
  <si>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</si>
  <si>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</si>
  <si>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</si>
  <si>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</si>
  <si>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</si>
  <si>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</si>
  <si>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</si>
  <si>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</si>
  <si>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</si>
  <si>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</si>
  <si>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</si>
  <si>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</si>
  <si>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</si>
  <si>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</si>
  <si>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</si>
  <si>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</si>
  <si>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</si>
  <si>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</si>
  <si>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</si>
  <si>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</si>
  <si>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</si>
  <si>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</si>
  <si>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</si>
  <si>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</si>
  <si>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</si>
  <si>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</si>
  <si>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</si>
  <si>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</si>
  <si>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</si>
  <si>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</si>
  <si>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</si>
  <si>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</si>
  <si>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</si>
  <si>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</si>
  <si>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</si>
  <si>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</si>
  <si>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</si>
  <si>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</si>
  <si>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</si>
  <si>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</si>
  <si>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</si>
  <si>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</si>
  <si>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</si>
  <si>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</si>
  <si>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</si>
  <si>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</si>
  <si>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</si>
  <si>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</si>
  <si>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</si>
  <si>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</si>
  <si>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</si>
  <si>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</si>
  <si>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</si>
  <si>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</si>
  <si>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</si>
  <si>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</si>
  <si>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</si>
  <si>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</si>
  <si>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</si>
  <si>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</si>
  <si>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</si>
  <si>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</si>
  <si>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</si>
  <si>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</si>
  <si>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</si>
  <si>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</si>
  <si>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</si>
  <si>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</si>
  <si>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</si>
  <si>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</si>
  <si>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</si>
  <si>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</si>
  <si>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</si>
  <si>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</si>
  <si>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</si>
  <si>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</si>
  <si>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</si>
  <si>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</si>
  <si>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</si>
  <si>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</si>
  <si>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</si>
  <si>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</si>
  <si>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</si>
  <si>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</si>
  <si>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</si>
  <si>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</si>
  <si>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</si>
  <si>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</si>
  <si>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</si>
  <si>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</si>
  <si>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</si>
  <si>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</si>
  <si>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</si>
  <si>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</si>
  <si>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</si>
  <si>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</si>
  <si>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</si>
  <si>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</si>
  <si>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</si>
  <si>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</si>
  <si>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</si>
  <si>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</si>
  <si>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</si>
  <si>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</si>
  <si>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</si>
  <si>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</si>
  <si>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</si>
  <si>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</si>
  <si>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</si>
  <si>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</si>
  <si>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</si>
  <si>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</si>
  <si>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</si>
  <si>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</si>
  <si>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</si>
  <si>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</si>
  <si>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</si>
  <si>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</si>
  <si>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</si>
  <si>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</si>
  <si>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</si>
  <si>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</si>
  <si>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</si>
  <si>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</si>
  <si>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</si>
  <si>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</si>
  <si>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</si>
  <si>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</si>
  <si>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</si>
  <si>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</si>
  <si>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</si>
  <si>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</si>
  <si>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</si>
  <si>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</si>
  <si>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</si>
  <si>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</si>
  <si>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</si>
  <si>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</si>
  <si>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</si>
  <si>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</si>
  <si>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</si>
  <si>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</si>
  <si>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</si>
  <si>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</si>
  <si>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</si>
  <si>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</si>
  <si>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</si>
  <si>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</si>
  <si>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</si>
  <si>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</si>
  <si>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</si>
  <si>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</si>
  <si>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</si>
  <si>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</si>
  <si>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</si>
  <si>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</si>
  <si>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</si>
  <si>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</si>
  <si>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</si>
  <si>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</si>
  <si>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</si>
  <si>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</si>
  <si>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</si>
  <si>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</si>
  <si>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</si>
  <si>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</si>
  <si>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</si>
  <si>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</si>
  <si>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</si>
  <si>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</si>
  <si>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</si>
  <si>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</si>
  <si>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</si>
  <si>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</si>
  <si>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</si>
  <si>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</si>
  <si>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</si>
  <si>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</si>
  <si>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</si>
  <si>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</si>
  <si>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</si>
  <si>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</si>
  <si>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</si>
  <si>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</si>
  <si>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</si>
  <si>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</si>
  <si>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</si>
  <si>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</si>
  <si>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</si>
  <si>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</si>
  <si>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</si>
  <si>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</si>
  <si>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</si>
  <si>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</si>
  <si>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</si>
  <si>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</si>
  <si>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</si>
  <si>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</si>
  <si>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</si>
  <si>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</si>
  <si>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</si>
  <si>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</si>
  <si>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</si>
  <si>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</si>
  <si>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</si>
  <si>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</si>
  <si>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</si>
  <si>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</si>
  <si>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</si>
  <si>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</si>
  <si>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</si>
  <si>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</si>
  <si>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</si>
  <si>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</si>
  <si>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</si>
  <si>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</si>
  <si>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</si>
  <si>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</si>
  <si>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</si>
  <si>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</si>
  <si>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</si>
  <si>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</si>
  <si>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</si>
  <si>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</si>
  <si>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</si>
  <si>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</si>
  <si>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</si>
  <si>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</si>
  <si>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</si>
  <si>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</si>
  <si>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</si>
  <si>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</si>
  <si>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</si>
  <si>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</si>
  <si>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</si>
  <si>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</si>
  <si>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</si>
  <si>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</si>
  <si>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</si>
  <si>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</si>
  <si>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</si>
  <si>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</si>
  <si>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</si>
  <si>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</si>
  <si>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</si>
  <si>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</si>
  <si>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</si>
  <si>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</si>
  <si>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0412,0603</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</si>
  <si>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</si>
  <si>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</si>
  <si>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</si>
  <si>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</si>
  <si>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</si>
  <si>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</si>
  <si>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</si>
  <si>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</si>
  <si>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</si>
  <si>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</si>
  <si>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</si>
  <si>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</si>
  <si>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</si>
  <si>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</si>
  <si>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</si>
  <si>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</si>
  <si>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</si>
  <si>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</si>
  <si>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</si>
  <si>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</si>
  <si>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</si>
  <si>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</si>
  <si>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</si>
  <si>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</si>
  <si>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</si>
  <si>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</si>
  <si>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</si>
  <si>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13.12.2017 -  не установ</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</si>
  <si>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</si>
  <si>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</si>
  <si>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</si>
  <si>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</si>
  <si>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</si>
  <si>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</si>
  <si>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</si>
  <si>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</si>
  <si>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</si>
  <si>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</si>
  <si>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</si>
  <si>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</si>
  <si>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</si>
  <si>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</si>
  <si>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</si>
  <si>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</si>
  <si>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</si>
  <si>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</si>
  <si>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</si>
  <si>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</si>
  <si>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</si>
  <si>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</si>
  <si>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</si>
  <si>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</si>
  <si>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</si>
  <si>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</si>
  <si>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</si>
  <si>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</si>
  <si>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</si>
  <si>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</si>
  <si>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</si>
  <si>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</si>
  <si>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</si>
  <si>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</si>
  <si>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</si>
  <si>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</si>
  <si>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</si>
  <si>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</si>
  <si>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</si>
  <si>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</si>
  <si>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</si>
  <si>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</si>
  <si>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</si>
  <si>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</si>
  <si>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</si>
  <si>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</si>
  <si>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</si>
  <si>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</si>
  <si>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</si>
  <si>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</si>
  <si>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</si>
  <si>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</si>
  <si>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</si>
  <si>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</si>
  <si>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</si>
  <si>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</si>
  <si>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</si>
  <si>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</si>
  <si>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</si>
  <si>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</si>
  <si>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</si>
  <si>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</si>
  <si>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</si>
  <si>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</si>
  <si>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</si>
  <si>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</si>
  <si>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</si>
  <si>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</si>
  <si>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</si>
  <si>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</si>
  <si>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</si>
  <si>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</si>
  <si>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</si>
  <si>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</si>
  <si>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</si>
  <si>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</si>
  <si>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</si>
  <si>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</si>
  <si>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</si>
  <si>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</si>
  <si>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</si>
  <si>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</si>
  <si>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</si>
  <si>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</si>
  <si>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</si>
  <si>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</si>
  <si>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</si>
  <si>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</si>
  <si>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</si>
  <si>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</si>
  <si>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</si>
  <si>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</si>
  <si>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</si>
  <si>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</si>
  <si>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</si>
  <si>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</si>
  <si>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</si>
  <si>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</si>
  <si>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</si>
  <si>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</si>
  <si>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</si>
  <si>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</si>
  <si>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</si>
  <si>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</si>
  <si>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</si>
  <si>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Реестр расходных обязательств города Канска на плановый период 2023-2026 годы</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</si>
  <si>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</si>
  <si>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 xml:space="preserve">Управление строительства и жилищно-коммунального хозяйства  администрации города Канска </t>
  </si>
  <si>
    <t>28.12.2022 - не установ.</t>
  </si>
  <si>
    <t>Отчетный период 2022 год</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</si>
  <si>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</si>
  <si>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</si>
  <si>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ст.17,  пункт 1, п/пункт 5</t>
  </si>
  <si>
    <t>Закон Красноярского края от 02.10.2003 № 8-1411  "О выборах в органы местного самоуправления в Красноярском крае"</t>
  </si>
  <si>
    <t>ст.5, пункт 1
ст.43, 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</si>
  <si>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</si>
  <si>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</si>
  <si>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 пункт 1</t>
  </si>
  <si>
    <t>26.06.2002 -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</si>
  <si>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</si>
  <si>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 на реализацию социальных проектов на основании конкурсного отбора проектов."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</si>
  <si>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</si>
  <si>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от 28.02.2023 № 21-210</t>
  </si>
  <si>
    <t>22.09.2010 - 09.11.2022</t>
  </si>
  <si>
    <t>Постановление администрации города Канска от 03.11.2022 г. №1255 "Об утверждении порядка использования бюджетных ассигнований резервного фонда администрации города Канска"</t>
  </si>
  <si>
    <t>09.11.2022 - не установ</t>
  </si>
  <si>
    <t>Постановление администрации города Канска от 11.01.2023 № 03 "О муниципальном звене территориальной подсистемы единой государственной системы предупреждения и ликвидации чрезвычайных ситуаций города Канска Красноярского края, признании утратившим силу постановления администрации города Канска от 19.08.2015 г. №1308"</t>
  </si>
  <si>
    <t>Решение Канского городского Совета депутатов от 28.02.2007 г. Реламент Канского городского Совета депутатов.</t>
  </si>
  <si>
    <t>поддержка деятельности некоммерческих организаций, за исключением социально ориентированных организациq</t>
  </si>
  <si>
    <t>26.08.2015 - 11.01.2023</t>
  </si>
  <si>
    <t>11.01.2023 - не установ</t>
  </si>
  <si>
    <t>23.01.2023-31.12.2023</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</si>
  <si>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23.01.2022 г. № 04720000-1-2023-001</t>
  </si>
  <si>
    <t>Соглашение  о предоставлении субсидии бюджету города Канска Красноярского края из краевого бюджета на реализацию муниципальной программы развития субъектов малого и среднего предпринимательства от 14.02.2023 №1-7/2023</t>
  </si>
  <si>
    <t>14.02.2023 - 31.12.2023</t>
  </si>
  <si>
    <t xml:space="preserve">Соглашение о предоставлении из краевого бюджета бюджету города Канска Красноярского края субсидии на частичное финансирование (возмещение) расходов на содержание единой дежурно-дисппетчерской службы от </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</si>
  <si>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11.05.2022 г. №25/с</t>
  </si>
  <si>
    <t>11.05.2022  - не установ</t>
  </si>
  <si>
    <t>Соглашение о предоставлении иного межбюджетного транферта из краевого бюджета бюджету города Канска Красноярского края от 15.02.2022 №1/2022-2023</t>
  </si>
  <si>
    <t>Соглашение о предоставлении иного межбюджетного трансферта, имеющего целевое назначение, из бюджета субъекта РФ местному бюджету от 28.01.2022 № 04720000-1-2020-009</t>
  </si>
  <si>
    <t>Соглашение о предоставлении субсидии бюджету городског округа города Канска на софинансирование муниципальных программ формирование современной городской среды от 18.01.2022 № 04720000-1-2022-004</t>
  </si>
  <si>
    <t>18.01.2022 - 31.12.2022</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</si>
  <si>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24.01.2023 № 04720000-1-2023-003 </t>
  </si>
  <si>
    <t>24.01.2023 - 31.12.2023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</si>
</sst>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4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0" fontId="7" fillId="0" borderId="0" xfId="0" applyFont="1"/>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6" fillId="0" borderId="19" xfId="0" applyFont="1" applyBorder="1" applyAlignment="1">
      <alignment horizontal="center" vertical="top"/>
    </xf>
    <xf numFmtId="0" fontId="1" fillId="0" borderId="19" xfId="0" applyFont="1" applyBorder="1" applyAlignment="1">
      <alignment horizontal="center" vertical="top"/>
    </xf>
    <xf numFmtId="0" fontId="7" fillId="0" borderId="1" xfId="0" applyFont="1" applyBorder="1" applyAlignment="1">
      <alignment horizontal="left"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1" fillId="0" borderId="2" xfId="0" applyFont="1" applyBorder="1" applyAlignment="1">
      <alignment horizontal="left" vertical="top" wrapText="1"/>
    </xf>
    <xf numFmtId="0" fontId="0" fillId="0" borderId="3" xfId="0"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0" fontId="1" fillId="0" borderId="13" xfId="0" applyFont="1" applyBorder="1" applyAlignment="1">
      <alignment horizontal="left"/>
    </xf>
    <xf numFmtId="0" fontId="1" fillId="0" borderId="4" xfId="0" applyFont="1" applyBorder="1" applyAlignment="1">
      <alignment horizontal="center" vertical="top" wrapText="1"/>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14" fontId="6" fillId="4" borderId="1" xfId="0" applyNumberFormat="1"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28"/>
  <sheetViews>
    <sheetView tabSelected="1" zoomScaleNormal="100" workbookViewId="0">
      <pane xSplit="2" ySplit="8" topLeftCell="C9" activePane="bottomRight" state="frozen"/>
      <selection pane="topRight" activeCell="C1" sqref="C1"/>
      <selection pane="bottomLeft" activeCell="A9" sqref="A9"/>
      <selection pane="bottomRight" activeCell="K231" sqref="K231"/>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05" t="s">
        <v>552</v>
      </c>
      <c r="D2" s="305"/>
      <c r="E2" s="305"/>
      <c r="F2" s="305"/>
      <c r="G2" s="305"/>
      <c r="H2" s="305"/>
      <c r="I2" s="305"/>
      <c r="J2" s="305"/>
      <c r="K2" s="305"/>
      <c r="L2" s="305"/>
      <c r="M2" s="305"/>
      <c r="N2" s="305"/>
      <c r="O2" s="305"/>
      <c r="P2" s="305"/>
    </row>
    <row r="3" spans="1:19" x14ac:dyDescent="0.25">
      <c r="A3" s="265" t="s">
        <v>556</v>
      </c>
      <c r="B3" s="265"/>
      <c r="I3" s="20"/>
    </row>
    <row r="4" spans="1:19" x14ac:dyDescent="0.25">
      <c r="A4" s="288" t="s">
        <v>569</v>
      </c>
      <c r="B4" s="288"/>
      <c r="S4" s="35" t="s">
        <v>17</v>
      </c>
    </row>
    <row r="5" spans="1:19" x14ac:dyDescent="0.25">
      <c r="A5" s="317" t="s">
        <v>0</v>
      </c>
      <c r="B5" s="307" t="s">
        <v>1</v>
      </c>
      <c r="C5" s="308" t="s">
        <v>2</v>
      </c>
      <c r="D5" s="308"/>
      <c r="E5" s="308" t="s">
        <v>5</v>
      </c>
      <c r="F5" s="308"/>
      <c r="G5" s="308"/>
      <c r="H5" s="308" t="s">
        <v>9</v>
      </c>
      <c r="I5" s="310"/>
      <c r="J5" s="310"/>
      <c r="K5" s="308" t="s">
        <v>10</v>
      </c>
      <c r="L5" s="310"/>
      <c r="M5" s="310"/>
      <c r="N5" s="309" t="s">
        <v>16</v>
      </c>
      <c r="O5" s="309"/>
      <c r="P5" s="309"/>
      <c r="Q5" s="309"/>
      <c r="R5" s="309"/>
      <c r="S5" s="309"/>
    </row>
    <row r="6" spans="1:19" ht="45" x14ac:dyDescent="0.25">
      <c r="A6" s="318"/>
      <c r="B6" s="307"/>
      <c r="C6" s="320" t="s">
        <v>3</v>
      </c>
      <c r="D6" s="320" t="s">
        <v>4</v>
      </c>
      <c r="E6" s="307" t="s">
        <v>6</v>
      </c>
      <c r="F6" s="307" t="s">
        <v>7</v>
      </c>
      <c r="G6" s="307" t="s">
        <v>8</v>
      </c>
      <c r="H6" s="307" t="s">
        <v>6</v>
      </c>
      <c r="I6" s="307" t="s">
        <v>7</v>
      </c>
      <c r="J6" s="307" t="s">
        <v>8</v>
      </c>
      <c r="K6" s="306" t="s">
        <v>6</v>
      </c>
      <c r="L6" s="307" t="s">
        <v>7</v>
      </c>
      <c r="M6" s="307" t="s">
        <v>8</v>
      </c>
      <c r="N6" s="307" t="s">
        <v>13</v>
      </c>
      <c r="O6" s="307"/>
      <c r="P6" s="2" t="s">
        <v>14</v>
      </c>
      <c r="Q6" s="307" t="s">
        <v>15</v>
      </c>
      <c r="R6" s="314"/>
      <c r="S6" s="314"/>
    </row>
    <row r="7" spans="1:19" x14ac:dyDescent="0.25">
      <c r="A7" s="319"/>
      <c r="B7" s="307"/>
      <c r="C7" s="320"/>
      <c r="D7" s="320"/>
      <c r="E7" s="307"/>
      <c r="F7" s="307"/>
      <c r="G7" s="307"/>
      <c r="H7" s="307"/>
      <c r="I7" s="307"/>
      <c r="J7" s="307"/>
      <c r="K7" s="306"/>
      <c r="L7" s="307"/>
      <c r="M7" s="307"/>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198">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199"/>
      <c r="L9" s="34"/>
      <c r="M9" s="34"/>
      <c r="N9" s="37">
        <f t="shared" ref="N9:S9" si="0">N10+N24+N34+N32</f>
        <v>94272490.329999998</v>
      </c>
      <c r="O9" s="37">
        <f t="shared" si="0"/>
        <v>93768948.780000001</v>
      </c>
      <c r="P9" s="37">
        <f t="shared" si="0"/>
        <v>98163447.719999999</v>
      </c>
      <c r="Q9" s="37">
        <f t="shared" si="0"/>
        <v>81367770</v>
      </c>
      <c r="R9" s="37">
        <f t="shared" si="0"/>
        <v>81366670</v>
      </c>
      <c r="S9" s="37">
        <f t="shared" si="0"/>
        <v>81357170</v>
      </c>
    </row>
    <row r="10" spans="1:19" s="84" customFormat="1" ht="66.75" customHeight="1" x14ac:dyDescent="0.2">
      <c r="A10" s="81">
        <v>2500</v>
      </c>
      <c r="B10" s="85" t="s">
        <v>462</v>
      </c>
      <c r="C10" s="81"/>
      <c r="D10" s="81"/>
      <c r="E10" s="81"/>
      <c r="F10" s="81"/>
      <c r="G10" s="81"/>
      <c r="H10" s="82"/>
      <c r="I10" s="82"/>
      <c r="J10" s="82"/>
      <c r="K10" s="200"/>
      <c r="L10" s="82"/>
      <c r="M10" s="82"/>
      <c r="N10" s="83">
        <f t="shared" ref="N10:S10" si="1">N11+N15+N17+N21</f>
        <v>22176429.210000001</v>
      </c>
      <c r="O10" s="83">
        <f t="shared" si="1"/>
        <v>22176429.210000001</v>
      </c>
      <c r="P10" s="83">
        <f t="shared" si="1"/>
        <v>13070123.5</v>
      </c>
      <c r="Q10" s="83">
        <f t="shared" si="1"/>
        <v>8688791</v>
      </c>
      <c r="R10" s="83">
        <f t="shared" si="1"/>
        <v>8688791</v>
      </c>
      <c r="S10" s="83">
        <f t="shared" si="1"/>
        <v>8688791</v>
      </c>
    </row>
    <row r="11" spans="1:19" ht="45" x14ac:dyDescent="0.25">
      <c r="A11" s="263">
        <v>2508</v>
      </c>
      <c r="B11" s="278" t="s">
        <v>38</v>
      </c>
      <c r="C11" s="263">
        <v>901</v>
      </c>
      <c r="D11" s="272" t="s">
        <v>40</v>
      </c>
      <c r="E11" s="278" t="s">
        <v>20</v>
      </c>
      <c r="F11" s="278" t="s">
        <v>336</v>
      </c>
      <c r="G11" s="278" t="s">
        <v>21</v>
      </c>
      <c r="H11" s="9"/>
      <c r="I11" s="9"/>
      <c r="J11" s="9"/>
      <c r="K11" s="55" t="s">
        <v>29</v>
      </c>
      <c r="L11" s="9" t="s">
        <v>39</v>
      </c>
      <c r="M11" s="9" t="s">
        <v>30</v>
      </c>
      <c r="N11" s="261">
        <f>3647249.62+6267081.6</f>
        <v>9914331.2199999988</v>
      </c>
      <c r="O11" s="261">
        <f>3647249.62+6267081.6</f>
        <v>9914331.2199999988</v>
      </c>
      <c r="P11" s="261">
        <f>2994794.5+2193500</f>
        <v>5188294.5</v>
      </c>
      <c r="Q11" s="311">
        <v>875000</v>
      </c>
      <c r="R11" s="261">
        <v>875000</v>
      </c>
      <c r="S11" s="261">
        <v>875000</v>
      </c>
    </row>
    <row r="12" spans="1:19" ht="154.5" customHeight="1" x14ac:dyDescent="0.25">
      <c r="A12" s="289"/>
      <c r="B12" s="285"/>
      <c r="C12" s="264"/>
      <c r="D12" s="274"/>
      <c r="E12" s="282"/>
      <c r="F12" s="282"/>
      <c r="G12" s="282"/>
      <c r="H12" s="9"/>
      <c r="I12" s="9"/>
      <c r="J12" s="9"/>
      <c r="K12" s="55" t="s">
        <v>404</v>
      </c>
      <c r="L12" s="55"/>
      <c r="M12" s="55" t="s">
        <v>405</v>
      </c>
      <c r="N12" s="262"/>
      <c r="O12" s="262"/>
      <c r="P12" s="262"/>
      <c r="Q12" s="312"/>
      <c r="R12" s="262"/>
      <c r="S12" s="262"/>
    </row>
    <row r="13" spans="1:19" ht="120" x14ac:dyDescent="0.25">
      <c r="A13" s="289"/>
      <c r="B13" s="285"/>
      <c r="C13" s="141"/>
      <c r="D13" s="142"/>
      <c r="E13" s="143"/>
      <c r="F13" s="143"/>
      <c r="G13" s="143"/>
      <c r="H13" s="211"/>
      <c r="I13" s="211"/>
      <c r="J13" s="211"/>
      <c r="K13" s="55" t="s">
        <v>579</v>
      </c>
      <c r="L13" s="55"/>
      <c r="M13" s="146" t="s">
        <v>578</v>
      </c>
      <c r="N13" s="271"/>
      <c r="O13" s="271"/>
      <c r="P13" s="271"/>
      <c r="Q13" s="313"/>
      <c r="R13" s="271"/>
      <c r="S13" s="271"/>
    </row>
    <row r="14" spans="1:19" ht="120" x14ac:dyDescent="0.25">
      <c r="A14" s="213"/>
      <c r="B14" s="212"/>
      <c r="C14" s="214"/>
      <c r="D14" s="195"/>
      <c r="E14" s="212"/>
      <c r="F14" s="212"/>
      <c r="G14" s="212"/>
      <c r="H14" s="212"/>
      <c r="I14" s="212"/>
      <c r="J14" s="212"/>
      <c r="K14" s="210" t="s">
        <v>514</v>
      </c>
      <c r="L14" s="55"/>
      <c r="M14" s="146" t="s">
        <v>510</v>
      </c>
      <c r="N14" s="193"/>
      <c r="O14" s="193"/>
      <c r="P14" s="193"/>
      <c r="Q14" s="197"/>
      <c r="R14" s="193"/>
      <c r="S14" s="193"/>
    </row>
    <row r="15" spans="1:19" ht="45" x14ac:dyDescent="0.25">
      <c r="A15" s="289">
        <v>2537</v>
      </c>
      <c r="B15" s="285" t="s">
        <v>41</v>
      </c>
      <c r="C15" s="263">
        <v>901</v>
      </c>
      <c r="D15" s="272" t="s">
        <v>34</v>
      </c>
      <c r="E15" s="278" t="s">
        <v>20</v>
      </c>
      <c r="F15" s="289" t="s">
        <v>42</v>
      </c>
      <c r="G15" s="289" t="s">
        <v>21</v>
      </c>
      <c r="H15" s="212"/>
      <c r="I15" s="212"/>
      <c r="J15" s="212"/>
      <c r="K15" s="55" t="s">
        <v>29</v>
      </c>
      <c r="L15" s="9" t="s">
        <v>39</v>
      </c>
      <c r="M15" s="9" t="s">
        <v>30</v>
      </c>
      <c r="N15" s="261">
        <v>4355697.99</v>
      </c>
      <c r="O15" s="261">
        <v>4355697.99</v>
      </c>
      <c r="P15" s="261">
        <v>4622129</v>
      </c>
      <c r="Q15" s="261">
        <v>4554091</v>
      </c>
      <c r="R15" s="261">
        <v>4554091</v>
      </c>
      <c r="S15" s="261">
        <v>4554091</v>
      </c>
    </row>
    <row r="16" spans="1:19" ht="165" x14ac:dyDescent="0.25">
      <c r="A16" s="289"/>
      <c r="B16" s="285"/>
      <c r="C16" s="289"/>
      <c r="D16" s="273"/>
      <c r="E16" s="282"/>
      <c r="F16" s="264"/>
      <c r="G16" s="264"/>
      <c r="H16" s="9"/>
      <c r="I16" s="9"/>
      <c r="J16" s="9"/>
      <c r="K16" s="55" t="s">
        <v>43</v>
      </c>
      <c r="L16" s="9"/>
      <c r="M16" s="9" t="s">
        <v>44</v>
      </c>
      <c r="N16" s="262"/>
      <c r="O16" s="262"/>
      <c r="P16" s="262"/>
      <c r="Q16" s="262"/>
      <c r="R16" s="262"/>
      <c r="S16" s="262"/>
    </row>
    <row r="17" spans="1:19" ht="90" x14ac:dyDescent="0.25">
      <c r="A17" s="321">
        <v>2553</v>
      </c>
      <c r="B17" s="278" t="s">
        <v>515</v>
      </c>
      <c r="C17" s="263">
        <v>901</v>
      </c>
      <c r="D17" s="272" t="s">
        <v>464</v>
      </c>
      <c r="E17" s="9" t="s">
        <v>20</v>
      </c>
      <c r="F17" s="9" t="s">
        <v>47</v>
      </c>
      <c r="G17" s="9" t="s">
        <v>21</v>
      </c>
      <c r="H17" s="9"/>
      <c r="I17" s="9"/>
      <c r="J17" s="9"/>
      <c r="K17" s="55" t="s">
        <v>29</v>
      </c>
      <c r="L17" s="9"/>
      <c r="M17" s="56" t="s">
        <v>30</v>
      </c>
      <c r="N17" s="261">
        <v>7837400</v>
      </c>
      <c r="O17" s="261">
        <v>7837400</v>
      </c>
      <c r="P17" s="261">
        <v>3159700</v>
      </c>
      <c r="Q17" s="261">
        <v>3159700</v>
      </c>
      <c r="R17" s="261">
        <v>3159700</v>
      </c>
      <c r="S17" s="261">
        <v>3159700</v>
      </c>
    </row>
    <row r="18" spans="1:19" ht="135" x14ac:dyDescent="0.25">
      <c r="A18" s="323"/>
      <c r="B18" s="282"/>
      <c r="C18" s="264"/>
      <c r="D18" s="274"/>
      <c r="E18" s="9" t="s">
        <v>45</v>
      </c>
      <c r="F18" s="9" t="s">
        <v>329</v>
      </c>
      <c r="G18" s="9" t="s">
        <v>28</v>
      </c>
      <c r="H18" s="9"/>
      <c r="I18" s="9"/>
      <c r="J18" s="9"/>
      <c r="K18" s="125" t="s">
        <v>493</v>
      </c>
      <c r="L18" s="9"/>
      <c r="M18" s="56" t="s">
        <v>509</v>
      </c>
      <c r="N18" s="262"/>
      <c r="O18" s="262"/>
      <c r="P18" s="262"/>
      <c r="Q18" s="262"/>
      <c r="R18" s="262"/>
      <c r="S18" s="262"/>
    </row>
    <row r="19" spans="1:19" ht="120" x14ac:dyDescent="0.25">
      <c r="A19" s="183"/>
      <c r="B19" s="182"/>
      <c r="C19" s="181"/>
      <c r="D19" s="180"/>
      <c r="E19" s="9"/>
      <c r="F19" s="9"/>
      <c r="G19" s="9"/>
      <c r="H19" s="9"/>
      <c r="I19" s="9"/>
      <c r="J19" s="9"/>
      <c r="K19" s="55" t="s">
        <v>488</v>
      </c>
      <c r="L19" s="9"/>
      <c r="M19" s="56" t="s">
        <v>489</v>
      </c>
      <c r="N19" s="271"/>
      <c r="O19" s="271"/>
      <c r="P19" s="271"/>
      <c r="Q19" s="271"/>
      <c r="R19" s="271"/>
      <c r="S19" s="271"/>
    </row>
    <row r="20" spans="1:19" ht="120" x14ac:dyDescent="0.25">
      <c r="A20" s="260"/>
      <c r="B20" s="258"/>
      <c r="C20" s="259"/>
      <c r="D20" s="256"/>
      <c r="E20" s="257"/>
      <c r="F20" s="257"/>
      <c r="G20" s="257"/>
      <c r="H20" s="9"/>
      <c r="I20" s="9"/>
      <c r="J20" s="9"/>
      <c r="K20" s="55" t="s">
        <v>580</v>
      </c>
      <c r="L20" s="9"/>
      <c r="M20" s="56" t="s">
        <v>581</v>
      </c>
      <c r="N20" s="255"/>
      <c r="O20" s="255"/>
      <c r="P20" s="255"/>
      <c r="Q20" s="255"/>
      <c r="R20" s="255"/>
      <c r="S20" s="255"/>
    </row>
    <row r="21" spans="1:19" ht="45" x14ac:dyDescent="0.25">
      <c r="A21" s="321">
        <v>2557</v>
      </c>
      <c r="B21" s="278" t="s">
        <v>407</v>
      </c>
      <c r="C21" s="263">
        <v>901</v>
      </c>
      <c r="D21" s="272" t="s">
        <v>34</v>
      </c>
      <c r="E21" s="278" t="s">
        <v>20</v>
      </c>
      <c r="F21" s="278" t="s">
        <v>408</v>
      </c>
      <c r="G21" s="278" t="s">
        <v>21</v>
      </c>
      <c r="H21" s="9"/>
      <c r="I21" s="9"/>
      <c r="J21" s="9"/>
      <c r="K21" s="55" t="s">
        <v>29</v>
      </c>
      <c r="L21" s="9"/>
      <c r="M21" s="56" t="s">
        <v>30</v>
      </c>
      <c r="N21" s="261">
        <v>69000</v>
      </c>
      <c r="O21" s="261">
        <v>69000</v>
      </c>
      <c r="P21" s="261">
        <v>100000</v>
      </c>
      <c r="Q21" s="261">
        <v>100000</v>
      </c>
      <c r="R21" s="261">
        <v>100000</v>
      </c>
      <c r="S21" s="261">
        <v>100000</v>
      </c>
    </row>
    <row r="22" spans="1:19" ht="110.25" customHeight="1" x14ac:dyDescent="0.25">
      <c r="A22" s="322"/>
      <c r="B22" s="285"/>
      <c r="C22" s="289"/>
      <c r="D22" s="273"/>
      <c r="E22" s="285"/>
      <c r="F22" s="285"/>
      <c r="G22" s="285"/>
      <c r="H22" s="9"/>
      <c r="I22" s="9"/>
      <c r="J22" s="9"/>
      <c r="K22" s="55" t="s">
        <v>449</v>
      </c>
      <c r="L22" s="9"/>
      <c r="M22" s="56" t="s">
        <v>450</v>
      </c>
      <c r="N22" s="262"/>
      <c r="O22" s="262"/>
      <c r="P22" s="262"/>
      <c r="Q22" s="262"/>
      <c r="R22" s="262"/>
      <c r="S22" s="262"/>
    </row>
    <row r="23" spans="1:19" ht="137.25" customHeight="1" x14ac:dyDescent="0.25">
      <c r="A23" s="323"/>
      <c r="B23" s="282"/>
      <c r="C23" s="264"/>
      <c r="D23" s="274"/>
      <c r="E23" s="282"/>
      <c r="F23" s="282"/>
      <c r="G23" s="282"/>
      <c r="H23" s="9"/>
      <c r="I23" s="9"/>
      <c r="J23" s="9"/>
      <c r="K23" s="55" t="s">
        <v>31</v>
      </c>
      <c r="L23" s="9"/>
      <c r="M23" s="9" t="s">
        <v>32</v>
      </c>
      <c r="N23" s="271"/>
      <c r="O23" s="271"/>
      <c r="P23" s="271"/>
      <c r="Q23" s="271"/>
      <c r="R23" s="271"/>
      <c r="S23" s="271"/>
    </row>
    <row r="24" spans="1:19" s="20" customFormat="1" ht="114" x14ac:dyDescent="0.2">
      <c r="A24" s="65">
        <v>2600</v>
      </c>
      <c r="B24" s="159" t="s">
        <v>463</v>
      </c>
      <c r="C24" s="7"/>
      <c r="D24" s="7"/>
      <c r="E24" s="7"/>
      <c r="F24" s="7"/>
      <c r="G24" s="7"/>
      <c r="H24" s="7"/>
      <c r="I24" s="7"/>
      <c r="J24" s="7"/>
      <c r="K24" s="201"/>
      <c r="L24" s="7"/>
      <c r="M24" s="7"/>
      <c r="N24" s="38">
        <f>N25+N27+N31</f>
        <v>61751571.119999997</v>
      </c>
      <c r="O24" s="38">
        <f t="shared" ref="O24:S24" si="2">O25+O27+O31</f>
        <v>61751571.119999997</v>
      </c>
      <c r="P24" s="38">
        <f>P25+P27+P31+P29</f>
        <v>74776224.219999999</v>
      </c>
      <c r="Q24" s="38">
        <f t="shared" si="2"/>
        <v>62611379</v>
      </c>
      <c r="R24" s="38">
        <f t="shared" si="2"/>
        <v>62611379</v>
      </c>
      <c r="S24" s="38">
        <f t="shared" si="2"/>
        <v>62611379</v>
      </c>
    </row>
    <row r="25" spans="1:19" ht="90" x14ac:dyDescent="0.25">
      <c r="A25" s="294" t="s">
        <v>453</v>
      </c>
      <c r="B25" s="278" t="s">
        <v>516</v>
      </c>
      <c r="C25" s="296">
        <v>901</v>
      </c>
      <c r="D25" s="263" t="s">
        <v>19</v>
      </c>
      <c r="E25" s="130" t="s">
        <v>20</v>
      </c>
      <c r="F25" s="130" t="s">
        <v>334</v>
      </c>
      <c r="G25" s="131" t="s">
        <v>21</v>
      </c>
      <c r="H25" s="130" t="s">
        <v>24</v>
      </c>
      <c r="I25" s="133" t="s">
        <v>48</v>
      </c>
      <c r="J25" s="131" t="s">
        <v>26</v>
      </c>
      <c r="K25" s="55" t="s">
        <v>29</v>
      </c>
      <c r="L25" s="4"/>
      <c r="M25" s="9" t="s">
        <v>30</v>
      </c>
      <c r="N25" s="301">
        <f>2473518.87+45769085.55+138012+6553962.25-69000-450810</f>
        <v>54414768.669999994</v>
      </c>
      <c r="O25" s="301">
        <f>2473518.87+45769085.55+138012+6553962.25-69000-450810</f>
        <v>54414768.669999994</v>
      </c>
      <c r="P25" s="301">
        <f>2680628.4+53230867.6+10894881.22-P31</f>
        <v>66315698.219999999</v>
      </c>
      <c r="Q25" s="332">
        <f>52193724.6+2680628.4+240000</f>
        <v>55114353</v>
      </c>
      <c r="R25" s="301">
        <f>2680628.4+52193724.6+240000</f>
        <v>55114353</v>
      </c>
      <c r="S25" s="301">
        <v>55114353</v>
      </c>
    </row>
    <row r="26" spans="1:19" ht="230.25" customHeight="1" x14ac:dyDescent="0.25">
      <c r="A26" s="295"/>
      <c r="B26" s="285"/>
      <c r="C26" s="297"/>
      <c r="D26" s="289"/>
      <c r="E26" s="8" t="s">
        <v>22</v>
      </c>
      <c r="F26" s="6" t="s">
        <v>48</v>
      </c>
      <c r="G26" s="8" t="s">
        <v>23</v>
      </c>
      <c r="H26" s="9" t="s">
        <v>27</v>
      </c>
      <c r="I26" s="10" t="s">
        <v>48</v>
      </c>
      <c r="J26" s="9" t="s">
        <v>28</v>
      </c>
      <c r="K26" s="55"/>
      <c r="L26" s="9"/>
      <c r="M26" s="16"/>
      <c r="N26" s="302"/>
      <c r="O26" s="302"/>
      <c r="P26" s="329"/>
      <c r="Q26" s="334"/>
      <c r="R26" s="302"/>
      <c r="S26" s="302"/>
    </row>
    <row r="27" spans="1:19" ht="30" x14ac:dyDescent="0.25">
      <c r="A27" s="263">
        <v>2608</v>
      </c>
      <c r="B27" s="278" t="s">
        <v>357</v>
      </c>
      <c r="C27" s="263">
        <v>901</v>
      </c>
      <c r="D27" s="272" t="s">
        <v>34</v>
      </c>
      <c r="E27" s="278" t="s">
        <v>20</v>
      </c>
      <c r="F27" s="278" t="s">
        <v>335</v>
      </c>
      <c r="G27" s="263" t="s">
        <v>21</v>
      </c>
      <c r="H27" s="12"/>
      <c r="I27" s="9"/>
      <c r="J27" s="9"/>
      <c r="K27" s="55" t="s">
        <v>29</v>
      </c>
      <c r="L27" s="6" t="s">
        <v>36</v>
      </c>
      <c r="M27" s="9" t="s">
        <v>37</v>
      </c>
      <c r="N27" s="261">
        <v>6885992.4500000002</v>
      </c>
      <c r="O27" s="261">
        <v>6885992.4500000002</v>
      </c>
      <c r="P27" s="261">
        <v>7006347</v>
      </c>
      <c r="Q27" s="261">
        <v>7006347</v>
      </c>
      <c r="R27" s="301">
        <v>7006347</v>
      </c>
      <c r="S27" s="301">
        <v>7006347</v>
      </c>
    </row>
    <row r="28" spans="1:19" ht="90" x14ac:dyDescent="0.25">
      <c r="A28" s="264"/>
      <c r="B28" s="282"/>
      <c r="C28" s="264"/>
      <c r="D28" s="274"/>
      <c r="E28" s="282"/>
      <c r="F28" s="282"/>
      <c r="G28" s="264"/>
      <c r="H28" s="9"/>
      <c r="I28" s="9"/>
      <c r="J28" s="9"/>
      <c r="K28" s="55" t="s">
        <v>498</v>
      </c>
      <c r="L28" s="6"/>
      <c r="M28" s="9" t="s">
        <v>511</v>
      </c>
      <c r="N28" s="271"/>
      <c r="O28" s="271"/>
      <c r="P28" s="271"/>
      <c r="Q28" s="271"/>
      <c r="R28" s="329"/>
      <c r="S28" s="329"/>
    </row>
    <row r="29" spans="1:19" ht="101.25" customHeight="1" x14ac:dyDescent="0.25">
      <c r="A29" s="263">
        <v>2613</v>
      </c>
      <c r="B29" s="278" t="s">
        <v>557</v>
      </c>
      <c r="C29" s="263">
        <v>901</v>
      </c>
      <c r="D29" s="272" t="s">
        <v>558</v>
      </c>
      <c r="E29" s="9" t="s">
        <v>20</v>
      </c>
      <c r="F29" s="9" t="s">
        <v>559</v>
      </c>
      <c r="G29" s="9" t="s">
        <v>21</v>
      </c>
      <c r="H29" s="9" t="s">
        <v>560</v>
      </c>
      <c r="I29" s="9" t="s">
        <v>561</v>
      </c>
      <c r="J29" s="9" t="s">
        <v>562</v>
      </c>
      <c r="K29" s="9" t="s">
        <v>29</v>
      </c>
      <c r="L29" s="9"/>
      <c r="M29" s="9" t="s">
        <v>30</v>
      </c>
      <c r="N29" s="335">
        <v>0</v>
      </c>
      <c r="O29" s="335">
        <v>0</v>
      </c>
      <c r="P29" s="335">
        <v>963500</v>
      </c>
      <c r="Q29" s="335"/>
      <c r="R29" s="335"/>
      <c r="S29" s="335"/>
    </row>
    <row r="30" spans="1:19" ht="34.5" customHeight="1" x14ac:dyDescent="0.25">
      <c r="A30" s="264"/>
      <c r="B30" s="282"/>
      <c r="C30" s="264"/>
      <c r="D30" s="274"/>
      <c r="E30" s="9" t="s">
        <v>563</v>
      </c>
      <c r="F30" s="9" t="s">
        <v>564</v>
      </c>
      <c r="G30" s="9" t="s">
        <v>565</v>
      </c>
      <c r="H30" s="9"/>
      <c r="I30" s="9"/>
      <c r="J30" s="9"/>
      <c r="K30" s="9"/>
      <c r="L30" s="9"/>
      <c r="M30" s="9"/>
      <c r="N30" s="336"/>
      <c r="O30" s="336"/>
      <c r="P30" s="336"/>
      <c r="Q30" s="336"/>
      <c r="R30" s="336"/>
      <c r="S30" s="336"/>
    </row>
    <row r="31" spans="1:19" ht="49.5" customHeight="1" x14ac:dyDescent="0.25">
      <c r="A31" s="63">
        <v>2626</v>
      </c>
      <c r="B31" s="53" t="s">
        <v>575</v>
      </c>
      <c r="C31" s="52">
        <v>901</v>
      </c>
      <c r="D31" s="54" t="s">
        <v>34</v>
      </c>
      <c r="E31" s="9" t="s">
        <v>20</v>
      </c>
      <c r="F31" s="9" t="s">
        <v>379</v>
      </c>
      <c r="G31" s="9" t="s">
        <v>21</v>
      </c>
      <c r="H31" s="9"/>
      <c r="I31" s="9"/>
      <c r="J31" s="9"/>
      <c r="K31" s="55" t="s">
        <v>29</v>
      </c>
      <c r="L31" s="9"/>
      <c r="M31" s="9" t="s">
        <v>30</v>
      </c>
      <c r="N31" s="176">
        <v>450810</v>
      </c>
      <c r="O31" s="176">
        <v>450810</v>
      </c>
      <c r="P31" s="176">
        <v>490679</v>
      </c>
      <c r="Q31" s="176">
        <v>490679</v>
      </c>
      <c r="R31" s="176">
        <v>490679</v>
      </c>
      <c r="S31" s="176">
        <v>490679</v>
      </c>
    </row>
    <row r="32" spans="1:19" s="20" customFormat="1" ht="156.75" x14ac:dyDescent="0.2">
      <c r="A32" s="150">
        <v>3100</v>
      </c>
      <c r="B32" s="151" t="s">
        <v>517</v>
      </c>
      <c r="C32" s="152"/>
      <c r="D32" s="153"/>
      <c r="E32" s="15"/>
      <c r="F32" s="15"/>
      <c r="G32" s="15"/>
      <c r="H32" s="15"/>
      <c r="I32" s="15"/>
      <c r="J32" s="15"/>
      <c r="K32" s="202"/>
      <c r="L32" s="15"/>
      <c r="M32" s="15"/>
      <c r="N32" s="177">
        <f>N33</f>
        <v>886400</v>
      </c>
      <c r="O32" s="177">
        <f>O33</f>
        <v>403740</v>
      </c>
      <c r="P32" s="177">
        <f>P33</f>
        <v>10100</v>
      </c>
      <c r="Q32" s="177">
        <f t="shared" ref="Q32:S32" si="3">Q33</f>
        <v>10600</v>
      </c>
      <c r="R32" s="177">
        <f t="shared" si="3"/>
        <v>9500</v>
      </c>
      <c r="S32" s="177">
        <f t="shared" si="3"/>
        <v>0</v>
      </c>
    </row>
    <row r="33" spans="1:19" ht="150" x14ac:dyDescent="0.25">
      <c r="A33" s="239">
        <v>3103</v>
      </c>
      <c r="B33" s="240" t="s">
        <v>518</v>
      </c>
      <c r="C33" s="239">
        <v>901</v>
      </c>
      <c r="D33" s="241" t="s">
        <v>82</v>
      </c>
      <c r="E33" s="9" t="s">
        <v>81</v>
      </c>
      <c r="F33" s="9" t="s">
        <v>46</v>
      </c>
      <c r="G33" s="9" t="s">
        <v>83</v>
      </c>
      <c r="H33" s="9" t="s">
        <v>84</v>
      </c>
      <c r="I33" s="9" t="s">
        <v>48</v>
      </c>
      <c r="J33" s="9" t="s">
        <v>85</v>
      </c>
      <c r="K33" s="55" t="s">
        <v>388</v>
      </c>
      <c r="L33" s="9"/>
      <c r="M33" s="9" t="s">
        <v>389</v>
      </c>
      <c r="N33" s="242">
        <v>886400</v>
      </c>
      <c r="O33" s="242">
        <v>403740</v>
      </c>
      <c r="P33" s="242">
        <v>10100</v>
      </c>
      <c r="Q33" s="242">
        <v>10600</v>
      </c>
      <c r="R33" s="242">
        <v>9500</v>
      </c>
      <c r="S33" s="242">
        <v>0</v>
      </c>
    </row>
    <row r="34" spans="1:19" s="20" customFormat="1" ht="42.75" x14ac:dyDescent="0.2">
      <c r="A34" s="14">
        <v>3200</v>
      </c>
      <c r="B34" s="15" t="s">
        <v>519</v>
      </c>
      <c r="C34" s="25"/>
      <c r="D34" s="66"/>
      <c r="E34" s="25"/>
      <c r="F34" s="25"/>
      <c r="G34" s="25"/>
      <c r="H34" s="25"/>
      <c r="I34" s="25"/>
      <c r="J34" s="25"/>
      <c r="K34" s="202"/>
      <c r="L34" s="15"/>
      <c r="M34" s="15"/>
      <c r="N34" s="178">
        <f t="shared" ref="N34:O34" si="4">SUM(N35:N41)+N44+N42</f>
        <v>9458090</v>
      </c>
      <c r="O34" s="178">
        <f t="shared" si="4"/>
        <v>9437208.4500000011</v>
      </c>
      <c r="P34" s="178">
        <f>SUM(P35:P41)+P44+P42</f>
        <v>10307000</v>
      </c>
      <c r="Q34" s="178">
        <f t="shared" ref="Q34:S34" si="5">SUM(Q35:Q41)+Q44+Q42</f>
        <v>10057000</v>
      </c>
      <c r="R34" s="178">
        <f t="shared" si="5"/>
        <v>10057000</v>
      </c>
      <c r="S34" s="178">
        <f t="shared" si="5"/>
        <v>10057000</v>
      </c>
    </row>
    <row r="35" spans="1:19" ht="122.25" customHeight="1" x14ac:dyDescent="0.25">
      <c r="A35" s="112" t="s">
        <v>521</v>
      </c>
      <c r="B35" s="111" t="s">
        <v>520</v>
      </c>
      <c r="C35" s="67">
        <v>901</v>
      </c>
      <c r="D35" s="69" t="s">
        <v>34</v>
      </c>
      <c r="E35" s="68" t="s">
        <v>54</v>
      </c>
      <c r="F35" s="68" t="s">
        <v>55</v>
      </c>
      <c r="G35" s="68" t="s">
        <v>56</v>
      </c>
      <c r="H35" s="68" t="s">
        <v>57</v>
      </c>
      <c r="I35" s="68" t="s">
        <v>48</v>
      </c>
      <c r="J35" s="68" t="s">
        <v>58</v>
      </c>
      <c r="K35" s="210" t="s">
        <v>383</v>
      </c>
      <c r="L35" s="9"/>
      <c r="M35" s="55" t="s">
        <v>387</v>
      </c>
      <c r="N35" s="179">
        <v>327190</v>
      </c>
      <c r="O35" s="179">
        <v>327190</v>
      </c>
      <c r="P35" s="179">
        <v>345100</v>
      </c>
      <c r="Q35" s="179">
        <v>345100</v>
      </c>
      <c r="R35" s="179">
        <v>345100</v>
      </c>
      <c r="S35" s="179">
        <v>345100</v>
      </c>
    </row>
    <row r="36" spans="1:19" ht="229.5" customHeight="1" x14ac:dyDescent="0.25">
      <c r="A36" s="160" t="s">
        <v>465</v>
      </c>
      <c r="B36" s="57" t="s">
        <v>59</v>
      </c>
      <c r="C36" s="11">
        <v>901</v>
      </c>
      <c r="D36" s="18" t="s">
        <v>60</v>
      </c>
      <c r="E36" s="9" t="s">
        <v>61</v>
      </c>
      <c r="F36" s="9" t="s">
        <v>62</v>
      </c>
      <c r="G36" s="9" t="s">
        <v>63</v>
      </c>
      <c r="H36" s="9" t="s">
        <v>64</v>
      </c>
      <c r="I36" s="9" t="s">
        <v>48</v>
      </c>
      <c r="J36" s="9" t="s">
        <v>65</v>
      </c>
      <c r="K36" s="55" t="s">
        <v>87</v>
      </c>
      <c r="L36" s="9"/>
      <c r="M36" s="9" t="s">
        <v>66</v>
      </c>
      <c r="N36" s="179">
        <v>290400</v>
      </c>
      <c r="O36" s="179">
        <v>290400</v>
      </c>
      <c r="P36" s="179">
        <v>302500</v>
      </c>
      <c r="Q36" s="179">
        <v>302500</v>
      </c>
      <c r="R36" s="179">
        <v>302500</v>
      </c>
      <c r="S36" s="179">
        <v>302500</v>
      </c>
    </row>
    <row r="37" spans="1:19" ht="150" x14ac:dyDescent="0.25">
      <c r="A37" s="160" t="s">
        <v>465</v>
      </c>
      <c r="B37" s="126" t="s">
        <v>428</v>
      </c>
      <c r="C37" s="128">
        <v>901</v>
      </c>
      <c r="D37" s="127" t="s">
        <v>60</v>
      </c>
      <c r="E37" s="126" t="s">
        <v>61</v>
      </c>
      <c r="F37" s="126" t="s">
        <v>69</v>
      </c>
      <c r="G37" s="126" t="s">
        <v>63</v>
      </c>
      <c r="H37" s="9"/>
      <c r="I37" s="9"/>
      <c r="J37" s="9"/>
      <c r="K37" s="55" t="s">
        <v>470</v>
      </c>
      <c r="L37" s="55"/>
      <c r="M37" s="55" t="s">
        <v>476</v>
      </c>
      <c r="N37" s="175">
        <v>2200800</v>
      </c>
      <c r="O37" s="175">
        <v>2187071.2400000002</v>
      </c>
      <c r="P37" s="175">
        <v>2545000</v>
      </c>
      <c r="Q37" s="175">
        <v>2295000</v>
      </c>
      <c r="R37" s="175">
        <v>2295000</v>
      </c>
      <c r="S37" s="175">
        <v>2295000</v>
      </c>
    </row>
    <row r="38" spans="1:19" ht="195" x14ac:dyDescent="0.25">
      <c r="A38" s="263" t="s">
        <v>465</v>
      </c>
      <c r="B38" s="278" t="s">
        <v>67</v>
      </c>
      <c r="C38" s="293">
        <v>901</v>
      </c>
      <c r="D38" s="272" t="s">
        <v>60</v>
      </c>
      <c r="E38" s="330" t="s">
        <v>61</v>
      </c>
      <c r="F38" s="263" t="s">
        <v>69</v>
      </c>
      <c r="G38" s="263" t="s">
        <v>63</v>
      </c>
      <c r="H38" s="9" t="s">
        <v>70</v>
      </c>
      <c r="I38" s="9" t="s">
        <v>48</v>
      </c>
      <c r="J38" s="9" t="s">
        <v>71</v>
      </c>
      <c r="K38" s="55" t="s">
        <v>74</v>
      </c>
      <c r="L38" s="9"/>
      <c r="M38" s="9" t="s">
        <v>75</v>
      </c>
      <c r="N38" s="261">
        <v>2790100</v>
      </c>
      <c r="O38" s="261">
        <v>2786526.14</v>
      </c>
      <c r="P38" s="261">
        <v>2906200</v>
      </c>
      <c r="Q38" s="261">
        <v>2906200</v>
      </c>
      <c r="R38" s="261">
        <v>2906200</v>
      </c>
      <c r="S38" s="261">
        <v>2906200</v>
      </c>
    </row>
    <row r="39" spans="1:19" ht="90" x14ac:dyDescent="0.25">
      <c r="A39" s="264"/>
      <c r="B39" s="282"/>
      <c r="C39" s="304"/>
      <c r="D39" s="274"/>
      <c r="E39" s="331"/>
      <c r="F39" s="264"/>
      <c r="G39" s="264"/>
      <c r="H39" s="9" t="s">
        <v>72</v>
      </c>
      <c r="I39" s="9" t="s">
        <v>48</v>
      </c>
      <c r="J39" s="9" t="s">
        <v>73</v>
      </c>
      <c r="K39" s="55"/>
      <c r="L39" s="9"/>
      <c r="M39" s="9"/>
      <c r="N39" s="271"/>
      <c r="O39" s="271"/>
      <c r="P39" s="271"/>
      <c r="Q39" s="271"/>
      <c r="R39" s="271"/>
      <c r="S39" s="271"/>
    </row>
    <row r="40" spans="1:19" ht="180" x14ac:dyDescent="0.25">
      <c r="A40" s="289" t="s">
        <v>465</v>
      </c>
      <c r="B40" s="285" t="s">
        <v>76</v>
      </c>
      <c r="C40" s="263">
        <v>901</v>
      </c>
      <c r="D40" s="272" t="s">
        <v>60</v>
      </c>
      <c r="E40" s="9" t="s">
        <v>61</v>
      </c>
      <c r="F40" s="9" t="s">
        <v>68</v>
      </c>
      <c r="G40" s="9" t="s">
        <v>63</v>
      </c>
      <c r="H40" s="9" t="s">
        <v>77</v>
      </c>
      <c r="I40" s="9" t="s">
        <v>48</v>
      </c>
      <c r="J40" s="9" t="s">
        <v>78</v>
      </c>
      <c r="K40" s="55" t="s">
        <v>384</v>
      </c>
      <c r="L40" s="9"/>
      <c r="M40" s="55" t="s">
        <v>387</v>
      </c>
      <c r="N40" s="261">
        <v>1027300</v>
      </c>
      <c r="O40" s="261">
        <v>1027300</v>
      </c>
      <c r="P40" s="261">
        <v>1070100</v>
      </c>
      <c r="Q40" s="261">
        <v>1070100</v>
      </c>
      <c r="R40" s="261">
        <v>1070100</v>
      </c>
      <c r="S40" s="261">
        <v>1070100</v>
      </c>
    </row>
    <row r="41" spans="1:19" ht="75" x14ac:dyDescent="0.25">
      <c r="A41" s="264"/>
      <c r="B41" s="282"/>
      <c r="C41" s="264"/>
      <c r="D41" s="274"/>
      <c r="E41" s="9"/>
      <c r="F41" s="9"/>
      <c r="G41" s="9"/>
      <c r="H41" s="9" t="s">
        <v>79</v>
      </c>
      <c r="I41" s="9" t="s">
        <v>48</v>
      </c>
      <c r="J41" s="9" t="s">
        <v>80</v>
      </c>
      <c r="K41" s="55"/>
      <c r="L41" s="9"/>
      <c r="M41" s="55"/>
      <c r="N41" s="271"/>
      <c r="O41" s="271"/>
      <c r="P41" s="271"/>
      <c r="Q41" s="271"/>
      <c r="R41" s="271"/>
      <c r="S41" s="271"/>
    </row>
    <row r="42" spans="1:19" ht="360" x14ac:dyDescent="0.25">
      <c r="A42" s="172">
        <v>3201.3202000000001</v>
      </c>
      <c r="B42" s="169" t="s">
        <v>479</v>
      </c>
      <c r="C42" s="170">
        <v>901</v>
      </c>
      <c r="D42" s="171" t="s">
        <v>60</v>
      </c>
      <c r="E42" s="9" t="s">
        <v>61</v>
      </c>
      <c r="F42" s="9" t="s">
        <v>68</v>
      </c>
      <c r="G42" s="9" t="s">
        <v>63</v>
      </c>
      <c r="H42" s="173" t="s">
        <v>481</v>
      </c>
      <c r="I42" s="9"/>
      <c r="J42" s="9" t="s">
        <v>482</v>
      </c>
      <c r="K42" s="55" t="s">
        <v>480</v>
      </c>
      <c r="L42" s="9"/>
      <c r="M42" s="55" t="s">
        <v>483</v>
      </c>
      <c r="N42" s="261">
        <v>395000</v>
      </c>
      <c r="O42" s="261">
        <v>395000</v>
      </c>
      <c r="P42" s="261">
        <v>608300</v>
      </c>
      <c r="Q42" s="261">
        <v>608300</v>
      </c>
      <c r="R42" s="261">
        <v>608300</v>
      </c>
      <c r="S42" s="261">
        <v>608300</v>
      </c>
    </row>
    <row r="43" spans="1:19" ht="198.75" customHeight="1" x14ac:dyDescent="0.25">
      <c r="A43" s="229"/>
      <c r="B43" s="227"/>
      <c r="C43" s="226"/>
      <c r="D43" s="228"/>
      <c r="E43" s="9"/>
      <c r="F43" s="9"/>
      <c r="G43" s="9"/>
      <c r="H43" s="232"/>
      <c r="I43" s="9"/>
      <c r="J43" s="9"/>
      <c r="K43" s="55" t="s">
        <v>542</v>
      </c>
      <c r="L43" s="9"/>
      <c r="M43" s="55" t="s">
        <v>543</v>
      </c>
      <c r="N43" s="271"/>
      <c r="O43" s="271"/>
      <c r="P43" s="271"/>
      <c r="Q43" s="271"/>
      <c r="R43" s="271"/>
      <c r="S43" s="271"/>
    </row>
    <row r="44" spans="1:19" ht="240" x14ac:dyDescent="0.25">
      <c r="A44" s="160" t="s">
        <v>465</v>
      </c>
      <c r="B44" s="103" t="s">
        <v>522</v>
      </c>
      <c r="C44" s="104">
        <v>901</v>
      </c>
      <c r="D44" s="105" t="s">
        <v>338</v>
      </c>
      <c r="E44" s="9" t="s">
        <v>61</v>
      </c>
      <c r="F44" s="9" t="s">
        <v>68</v>
      </c>
      <c r="G44" s="9" t="s">
        <v>63</v>
      </c>
      <c r="H44" s="9" t="s">
        <v>409</v>
      </c>
      <c r="I44" s="9" t="s">
        <v>212</v>
      </c>
      <c r="J44" s="9" t="s">
        <v>410</v>
      </c>
      <c r="K44" s="55" t="s">
        <v>415</v>
      </c>
      <c r="L44" s="9"/>
      <c r="M44" s="55" t="s">
        <v>420</v>
      </c>
      <c r="N44" s="176">
        <v>2427300</v>
      </c>
      <c r="O44" s="176">
        <v>2423721.0699999998</v>
      </c>
      <c r="P44" s="176">
        <v>2529800</v>
      </c>
      <c r="Q44" s="176">
        <v>2529800</v>
      </c>
      <c r="R44" s="176">
        <v>2529800</v>
      </c>
      <c r="S44" s="176">
        <v>2529800</v>
      </c>
    </row>
    <row r="45" spans="1:19" ht="28.5" x14ac:dyDescent="0.25">
      <c r="A45" s="30"/>
      <c r="B45" s="29" t="s">
        <v>88</v>
      </c>
      <c r="C45" s="30">
        <v>902</v>
      </c>
      <c r="D45" s="31"/>
      <c r="E45" s="29"/>
      <c r="F45" s="29"/>
      <c r="G45" s="29"/>
      <c r="H45" s="29"/>
      <c r="I45" s="29"/>
      <c r="J45" s="29"/>
      <c r="K45" s="203"/>
      <c r="L45" s="29"/>
      <c r="M45" s="29"/>
      <c r="N45" s="184">
        <f t="shared" ref="N45:S45" si="6">N46+N58+N54</f>
        <v>78011287</v>
      </c>
      <c r="O45" s="184">
        <f t="shared" si="6"/>
        <v>78009182.030000001</v>
      </c>
      <c r="P45" s="184">
        <f t="shared" si="6"/>
        <v>129759104</v>
      </c>
      <c r="Q45" s="184">
        <f t="shared" si="6"/>
        <v>104235194</v>
      </c>
      <c r="R45" s="184">
        <f t="shared" si="6"/>
        <v>104285194</v>
      </c>
      <c r="S45" s="184">
        <f t="shared" si="6"/>
        <v>104285194</v>
      </c>
    </row>
    <row r="46" spans="1:19" s="20" customFormat="1" ht="57" x14ac:dyDescent="0.2">
      <c r="A46" s="81">
        <v>2500</v>
      </c>
      <c r="B46" s="85" t="s">
        <v>462</v>
      </c>
      <c r="C46" s="14"/>
      <c r="D46" s="23"/>
      <c r="E46" s="15"/>
      <c r="F46" s="15"/>
      <c r="G46" s="15"/>
      <c r="H46" s="15"/>
      <c r="I46" s="15"/>
      <c r="J46" s="15"/>
      <c r="K46" s="202"/>
      <c r="L46" s="15"/>
      <c r="M46" s="15"/>
      <c r="N46" s="178">
        <f t="shared" ref="N46:S46" si="7">N47+N51+N52</f>
        <v>8011009.5600000005</v>
      </c>
      <c r="O46" s="178">
        <f t="shared" si="7"/>
        <v>8011009.5600000005</v>
      </c>
      <c r="P46" s="178">
        <f t="shared" si="7"/>
        <v>7591298</v>
      </c>
      <c r="Q46" s="178">
        <f t="shared" si="7"/>
        <v>2983098</v>
      </c>
      <c r="R46" s="178">
        <f t="shared" si="7"/>
        <v>3033098</v>
      </c>
      <c r="S46" s="178">
        <f t="shared" si="7"/>
        <v>3033098</v>
      </c>
    </row>
    <row r="47" spans="1:19" ht="225" x14ac:dyDescent="0.25">
      <c r="A47" s="263">
        <v>2504</v>
      </c>
      <c r="B47" s="278" t="s">
        <v>89</v>
      </c>
      <c r="C47" s="263">
        <v>902</v>
      </c>
      <c r="D47" s="272" t="s">
        <v>34</v>
      </c>
      <c r="E47" s="9" t="s">
        <v>20</v>
      </c>
      <c r="F47" s="9" t="s">
        <v>93</v>
      </c>
      <c r="G47" s="9" t="s">
        <v>90</v>
      </c>
      <c r="H47" s="9" t="s">
        <v>100</v>
      </c>
      <c r="I47" s="9" t="s">
        <v>48</v>
      </c>
      <c r="J47" s="9" t="s">
        <v>26</v>
      </c>
      <c r="K47" s="55" t="s">
        <v>390</v>
      </c>
      <c r="L47" s="9"/>
      <c r="M47" s="9" t="s">
        <v>105</v>
      </c>
      <c r="N47" s="261">
        <f>900763.2+96000</f>
        <v>996763.2</v>
      </c>
      <c r="O47" s="261">
        <f>900763.2+96000</f>
        <v>996763.2</v>
      </c>
      <c r="P47" s="261">
        <f>516000+72000</f>
        <v>588000</v>
      </c>
      <c r="Q47" s="261">
        <v>0</v>
      </c>
      <c r="R47" s="261">
        <v>0</v>
      </c>
      <c r="S47" s="261">
        <v>0</v>
      </c>
    </row>
    <row r="48" spans="1:19" ht="90" x14ac:dyDescent="0.25">
      <c r="A48" s="289"/>
      <c r="B48" s="285"/>
      <c r="C48" s="289"/>
      <c r="D48" s="273"/>
      <c r="E48" s="9" t="s">
        <v>91</v>
      </c>
      <c r="F48" s="9" t="s">
        <v>92</v>
      </c>
      <c r="G48" s="9" t="s">
        <v>94</v>
      </c>
      <c r="H48" s="9" t="s">
        <v>101</v>
      </c>
      <c r="I48" s="9" t="s">
        <v>48</v>
      </c>
      <c r="J48" s="9" t="s">
        <v>102</v>
      </c>
      <c r="K48" s="55" t="s">
        <v>106</v>
      </c>
      <c r="L48" s="9"/>
      <c r="M48" s="9" t="s">
        <v>107</v>
      </c>
      <c r="N48" s="262"/>
      <c r="O48" s="262"/>
      <c r="P48" s="262"/>
      <c r="Q48" s="262"/>
      <c r="R48" s="262"/>
      <c r="S48" s="262"/>
    </row>
    <row r="49" spans="1:19" ht="180" x14ac:dyDescent="0.25">
      <c r="A49" s="289"/>
      <c r="B49" s="285"/>
      <c r="C49" s="289"/>
      <c r="D49" s="273"/>
      <c r="E49" s="9" t="s">
        <v>95</v>
      </c>
      <c r="F49" s="9" t="s">
        <v>96</v>
      </c>
      <c r="G49" s="9" t="s">
        <v>97</v>
      </c>
      <c r="H49" s="9" t="s">
        <v>103</v>
      </c>
      <c r="I49" s="9" t="s">
        <v>48</v>
      </c>
      <c r="J49" s="9" t="s">
        <v>104</v>
      </c>
      <c r="K49" s="55" t="s">
        <v>108</v>
      </c>
      <c r="L49" s="9"/>
      <c r="M49" s="9" t="s">
        <v>109</v>
      </c>
      <c r="N49" s="262"/>
      <c r="O49" s="262"/>
      <c r="P49" s="262"/>
      <c r="Q49" s="262"/>
      <c r="R49" s="262"/>
      <c r="S49" s="262"/>
    </row>
    <row r="50" spans="1:19" ht="229.5" customHeight="1" x14ac:dyDescent="0.25">
      <c r="A50" s="264"/>
      <c r="B50" s="282"/>
      <c r="C50" s="264"/>
      <c r="D50" s="274"/>
      <c r="E50" s="9" t="s">
        <v>98</v>
      </c>
      <c r="F50" s="9" t="s">
        <v>48</v>
      </c>
      <c r="G50" s="9" t="s">
        <v>99</v>
      </c>
      <c r="H50" s="9" t="s">
        <v>27</v>
      </c>
      <c r="I50" s="10" t="s">
        <v>48</v>
      </c>
      <c r="J50" s="9" t="s">
        <v>28</v>
      </c>
      <c r="K50" s="55" t="s">
        <v>29</v>
      </c>
      <c r="L50" s="9" t="s">
        <v>110</v>
      </c>
      <c r="M50" s="9" t="s">
        <v>30</v>
      </c>
      <c r="N50" s="271"/>
      <c r="O50" s="271"/>
      <c r="P50" s="271"/>
      <c r="Q50" s="271"/>
      <c r="R50" s="271"/>
      <c r="S50" s="271"/>
    </row>
    <row r="51" spans="1:19" ht="135" x14ac:dyDescent="0.25">
      <c r="A51" s="11">
        <v>2508</v>
      </c>
      <c r="B51" s="9" t="s">
        <v>38</v>
      </c>
      <c r="C51" s="11">
        <v>902</v>
      </c>
      <c r="D51" s="18" t="s">
        <v>111</v>
      </c>
      <c r="E51" s="9" t="s">
        <v>20</v>
      </c>
      <c r="F51" s="9" t="s">
        <v>112</v>
      </c>
      <c r="G51" s="9" t="s">
        <v>90</v>
      </c>
      <c r="H51" s="9"/>
      <c r="I51" s="9"/>
      <c r="J51" s="9"/>
      <c r="K51" s="55" t="s">
        <v>29</v>
      </c>
      <c r="L51" s="9" t="s">
        <v>113</v>
      </c>
      <c r="M51" s="9" t="s">
        <v>30</v>
      </c>
      <c r="N51" s="179">
        <v>6079084.4000000004</v>
      </c>
      <c r="O51" s="179">
        <v>6079084.4000000004</v>
      </c>
      <c r="P51" s="179">
        <v>6277298</v>
      </c>
      <c r="Q51" s="179">
        <v>2983098</v>
      </c>
      <c r="R51" s="179">
        <v>3033098</v>
      </c>
      <c r="S51" s="179">
        <v>3033098</v>
      </c>
    </row>
    <row r="52" spans="1:19" ht="409.5" customHeight="1" x14ac:dyDescent="0.25">
      <c r="A52" s="263">
        <v>2544</v>
      </c>
      <c r="B52" s="278" t="s">
        <v>523</v>
      </c>
      <c r="C52" s="263">
        <v>902</v>
      </c>
      <c r="D52" s="272" t="s">
        <v>115</v>
      </c>
      <c r="E52" s="9" t="s">
        <v>20</v>
      </c>
      <c r="F52" s="9" t="s">
        <v>116</v>
      </c>
      <c r="G52" s="9" t="s">
        <v>90</v>
      </c>
      <c r="H52" s="9" t="s">
        <v>117</v>
      </c>
      <c r="I52" s="9" t="s">
        <v>118</v>
      </c>
      <c r="J52" s="9" t="s">
        <v>119</v>
      </c>
      <c r="K52" s="55" t="s">
        <v>29</v>
      </c>
      <c r="L52" s="9"/>
      <c r="M52" s="9" t="s">
        <v>37</v>
      </c>
      <c r="N52" s="261">
        <v>935161.96</v>
      </c>
      <c r="O52" s="261">
        <v>935161.96</v>
      </c>
      <c r="P52" s="261">
        <v>726000</v>
      </c>
      <c r="Q52" s="261">
        <v>0</v>
      </c>
      <c r="R52" s="261">
        <v>0</v>
      </c>
      <c r="S52" s="261">
        <v>0</v>
      </c>
    </row>
    <row r="53" spans="1:19" ht="409.5" customHeight="1" x14ac:dyDescent="0.25">
      <c r="A53" s="264"/>
      <c r="B53" s="282"/>
      <c r="C53" s="264"/>
      <c r="D53" s="274"/>
      <c r="E53" s="9"/>
      <c r="F53" s="9"/>
      <c r="G53" s="9"/>
      <c r="H53" s="9"/>
      <c r="I53" s="9"/>
      <c r="J53" s="9"/>
      <c r="K53" s="55" t="s">
        <v>120</v>
      </c>
      <c r="L53" s="9"/>
      <c r="M53" s="9" t="s">
        <v>121</v>
      </c>
      <c r="N53" s="271"/>
      <c r="O53" s="271"/>
      <c r="P53" s="271"/>
      <c r="Q53" s="271"/>
      <c r="R53" s="271"/>
      <c r="S53" s="271"/>
    </row>
    <row r="54" spans="1:19" s="20" customFormat="1" ht="114" x14ac:dyDescent="0.2">
      <c r="A54" s="65">
        <v>2600</v>
      </c>
      <c r="B54" s="159" t="s">
        <v>463</v>
      </c>
      <c r="C54" s="7"/>
      <c r="D54" s="7"/>
      <c r="E54" s="7"/>
      <c r="F54" s="7"/>
      <c r="G54" s="7"/>
      <c r="H54" s="7"/>
      <c r="I54" s="7"/>
      <c r="J54" s="7"/>
      <c r="K54" s="201"/>
      <c r="L54" s="7"/>
      <c r="M54" s="7"/>
      <c r="N54" s="38">
        <f t="shared" ref="N54:S54" si="8">N55</f>
        <v>22842277.439999998</v>
      </c>
      <c r="O54" s="38">
        <f t="shared" si="8"/>
        <v>22842277.439999998</v>
      </c>
      <c r="P54" s="38">
        <f t="shared" si="8"/>
        <v>19746506</v>
      </c>
      <c r="Q54" s="38">
        <f t="shared" si="8"/>
        <v>14766096</v>
      </c>
      <c r="R54" s="38">
        <f t="shared" si="8"/>
        <v>14766096</v>
      </c>
      <c r="S54" s="38">
        <f t="shared" si="8"/>
        <v>14766096</v>
      </c>
    </row>
    <row r="55" spans="1:19" ht="45" x14ac:dyDescent="0.25">
      <c r="A55" s="294" t="s">
        <v>454</v>
      </c>
      <c r="B55" s="278" t="s">
        <v>516</v>
      </c>
      <c r="C55" s="296">
        <v>902</v>
      </c>
      <c r="D55" s="272" t="s">
        <v>34</v>
      </c>
      <c r="E55" s="278" t="s">
        <v>20</v>
      </c>
      <c r="F55" s="278" t="s">
        <v>334</v>
      </c>
      <c r="G55" s="263" t="s">
        <v>21</v>
      </c>
      <c r="H55" s="278" t="s">
        <v>24</v>
      </c>
      <c r="I55" s="299" t="s">
        <v>48</v>
      </c>
      <c r="J55" s="263" t="s">
        <v>26</v>
      </c>
      <c r="K55" s="55" t="s">
        <v>29</v>
      </c>
      <c r="L55" s="4"/>
      <c r="M55" s="9" t="s">
        <v>30</v>
      </c>
      <c r="N55" s="301">
        <f>14217795.28+45570+8578912.16</f>
        <v>22842277.439999998</v>
      </c>
      <c r="O55" s="301">
        <f>14217795.28+45570+8578912.16</f>
        <v>22842277.439999998</v>
      </c>
      <c r="P55" s="301">
        <f>11681746+8064760</f>
        <v>19746506</v>
      </c>
      <c r="Q55" s="332">
        <f>11666096+3100000</f>
        <v>14766096</v>
      </c>
      <c r="R55" s="301">
        <f>11666096+3100000</f>
        <v>14766096</v>
      </c>
      <c r="S55" s="301">
        <v>14766096</v>
      </c>
    </row>
    <row r="56" spans="1:19" ht="45" x14ac:dyDescent="0.25">
      <c r="A56" s="295"/>
      <c r="B56" s="285"/>
      <c r="C56" s="297"/>
      <c r="D56" s="273"/>
      <c r="E56" s="282"/>
      <c r="F56" s="282"/>
      <c r="G56" s="264"/>
      <c r="H56" s="282"/>
      <c r="I56" s="300"/>
      <c r="J56" s="264"/>
      <c r="K56" s="55" t="s">
        <v>108</v>
      </c>
      <c r="L56" s="9"/>
      <c r="M56" s="9" t="s">
        <v>109</v>
      </c>
      <c r="N56" s="302"/>
      <c r="O56" s="302"/>
      <c r="P56" s="302"/>
      <c r="Q56" s="333"/>
      <c r="R56" s="302"/>
      <c r="S56" s="302"/>
    </row>
    <row r="57" spans="1:19" ht="229.5" customHeight="1" x14ac:dyDescent="0.25">
      <c r="A57" s="295"/>
      <c r="B57" s="285"/>
      <c r="C57" s="297"/>
      <c r="D57" s="273"/>
      <c r="E57" s="8" t="s">
        <v>22</v>
      </c>
      <c r="F57" s="6" t="s">
        <v>48</v>
      </c>
      <c r="G57" s="8" t="s">
        <v>23</v>
      </c>
      <c r="H57" s="9" t="s">
        <v>27</v>
      </c>
      <c r="I57" s="10" t="s">
        <v>48</v>
      </c>
      <c r="J57" s="9" t="s">
        <v>28</v>
      </c>
      <c r="K57" s="55" t="s">
        <v>106</v>
      </c>
      <c r="L57" s="9"/>
      <c r="M57" s="9" t="s">
        <v>107</v>
      </c>
      <c r="N57" s="302"/>
      <c r="O57" s="302"/>
      <c r="P57" s="329"/>
      <c r="Q57" s="334"/>
      <c r="R57" s="302"/>
      <c r="S57" s="302"/>
    </row>
    <row r="58" spans="1:19" s="20" customFormat="1" ht="42.75" x14ac:dyDescent="0.2">
      <c r="A58" s="14">
        <v>3200</v>
      </c>
      <c r="B58" s="15" t="s">
        <v>519</v>
      </c>
      <c r="C58" s="14"/>
      <c r="D58" s="23"/>
      <c r="E58" s="15"/>
      <c r="F58" s="15"/>
      <c r="G58" s="15"/>
      <c r="H58" s="15"/>
      <c r="I58" s="15"/>
      <c r="J58" s="15"/>
      <c r="K58" s="202"/>
      <c r="L58" s="15"/>
      <c r="M58" s="15"/>
      <c r="N58" s="178">
        <f t="shared" ref="N58:S58" si="9">N59</f>
        <v>47158000</v>
      </c>
      <c r="O58" s="178">
        <f t="shared" si="9"/>
        <v>47155895.030000001</v>
      </c>
      <c r="P58" s="178">
        <f>P59</f>
        <v>102421300</v>
      </c>
      <c r="Q58" s="178">
        <f t="shared" si="9"/>
        <v>86486000</v>
      </c>
      <c r="R58" s="178">
        <f t="shared" si="9"/>
        <v>86486000</v>
      </c>
      <c r="S58" s="178">
        <f t="shared" si="9"/>
        <v>86486000</v>
      </c>
    </row>
    <row r="59" spans="1:19" ht="239.25" customHeight="1" x14ac:dyDescent="0.25">
      <c r="A59" s="263">
        <v>3237</v>
      </c>
      <c r="B59" s="278" t="s">
        <v>360</v>
      </c>
      <c r="C59" s="263">
        <v>902</v>
      </c>
      <c r="D59" s="272" t="s">
        <v>122</v>
      </c>
      <c r="E59" s="278" t="s">
        <v>61</v>
      </c>
      <c r="F59" s="278" t="s">
        <v>123</v>
      </c>
      <c r="G59" s="278" t="s">
        <v>63</v>
      </c>
      <c r="H59" s="9" t="s">
        <v>124</v>
      </c>
      <c r="I59" s="9" t="s">
        <v>48</v>
      </c>
      <c r="J59" s="9" t="s">
        <v>125</v>
      </c>
      <c r="K59" s="55" t="s">
        <v>494</v>
      </c>
      <c r="L59" s="9"/>
      <c r="M59" s="9" t="s">
        <v>495</v>
      </c>
      <c r="N59" s="261">
        <f>2305600+44852400</f>
        <v>47158000</v>
      </c>
      <c r="O59" s="261">
        <f>2303495.03+44852400</f>
        <v>47155895.030000001</v>
      </c>
      <c r="P59" s="261">
        <f>100071800+2349500</f>
        <v>102421300</v>
      </c>
      <c r="Q59" s="261">
        <f>1980900+84505100</f>
        <v>86486000</v>
      </c>
      <c r="R59" s="261">
        <f>84505100+1980900</f>
        <v>86486000</v>
      </c>
      <c r="S59" s="261">
        <v>86486000</v>
      </c>
    </row>
    <row r="60" spans="1:19" ht="45" x14ac:dyDescent="0.25">
      <c r="A60" s="264"/>
      <c r="B60" s="282"/>
      <c r="C60" s="264"/>
      <c r="D60" s="274"/>
      <c r="E60" s="282"/>
      <c r="F60" s="282"/>
      <c r="G60" s="282"/>
      <c r="H60" s="9" t="s">
        <v>126</v>
      </c>
      <c r="I60" s="9" t="s">
        <v>127</v>
      </c>
      <c r="J60" s="9" t="s">
        <v>128</v>
      </c>
      <c r="K60" s="55"/>
      <c r="L60" s="9"/>
      <c r="M60" s="9"/>
      <c r="N60" s="271"/>
      <c r="O60" s="271"/>
      <c r="P60" s="271"/>
      <c r="Q60" s="271"/>
      <c r="R60" s="271"/>
      <c r="S60" s="271"/>
    </row>
    <row r="61" spans="1:19" s="20" customFormat="1" ht="28.5" x14ac:dyDescent="0.2">
      <c r="A61" s="30"/>
      <c r="B61" s="29" t="s">
        <v>129</v>
      </c>
      <c r="C61" s="30">
        <v>903</v>
      </c>
      <c r="D61" s="31"/>
      <c r="E61" s="29"/>
      <c r="F61" s="29"/>
      <c r="G61" s="29"/>
      <c r="H61" s="29"/>
      <c r="I61" s="29"/>
      <c r="J61" s="29"/>
      <c r="K61" s="203"/>
      <c r="L61" s="29"/>
      <c r="M61" s="29"/>
      <c r="N61" s="184">
        <f t="shared" ref="N61:S61" si="10">N62+N64</f>
        <v>20762808</v>
      </c>
      <c r="O61" s="184">
        <f t="shared" si="10"/>
        <v>20749083.509999998</v>
      </c>
      <c r="P61" s="184">
        <f t="shared" si="10"/>
        <v>22080449</v>
      </c>
      <c r="Q61" s="184">
        <f t="shared" si="10"/>
        <v>21535972</v>
      </c>
      <c r="R61" s="184">
        <f t="shared" si="10"/>
        <v>21565972</v>
      </c>
      <c r="S61" s="184">
        <f t="shared" si="10"/>
        <v>21565972</v>
      </c>
    </row>
    <row r="62" spans="1:19" s="20" customFormat="1" ht="57" x14ac:dyDescent="0.2">
      <c r="A62" s="81">
        <v>2500</v>
      </c>
      <c r="B62" s="85" t="s">
        <v>462</v>
      </c>
      <c r="C62" s="14"/>
      <c r="D62" s="23"/>
      <c r="E62" s="15"/>
      <c r="F62" s="15"/>
      <c r="G62" s="15"/>
      <c r="H62" s="15"/>
      <c r="I62" s="15"/>
      <c r="J62" s="15"/>
      <c r="K62" s="202"/>
      <c r="L62" s="15"/>
      <c r="M62" s="15"/>
      <c r="N62" s="178">
        <f t="shared" ref="N62:S62" si="11">N63</f>
        <v>0</v>
      </c>
      <c r="O62" s="178">
        <f t="shared" si="11"/>
        <v>0</v>
      </c>
      <c r="P62" s="178">
        <f t="shared" si="11"/>
        <v>75000</v>
      </c>
      <c r="Q62" s="178">
        <f t="shared" si="11"/>
        <v>0</v>
      </c>
      <c r="R62" s="178">
        <f t="shared" si="11"/>
        <v>0</v>
      </c>
      <c r="S62" s="178">
        <f t="shared" si="11"/>
        <v>0</v>
      </c>
    </row>
    <row r="63" spans="1:19" ht="135" x14ac:dyDescent="0.25">
      <c r="A63" s="11">
        <v>2508</v>
      </c>
      <c r="B63" s="9" t="s">
        <v>38</v>
      </c>
      <c r="C63" s="11">
        <v>903</v>
      </c>
      <c r="D63" s="18" t="s">
        <v>111</v>
      </c>
      <c r="E63" s="9" t="s">
        <v>20</v>
      </c>
      <c r="F63" s="9" t="s">
        <v>112</v>
      </c>
      <c r="G63" s="9" t="s">
        <v>90</v>
      </c>
      <c r="H63" s="9"/>
      <c r="I63" s="9"/>
      <c r="J63" s="9"/>
      <c r="K63" s="55" t="s">
        <v>29</v>
      </c>
      <c r="L63" s="9" t="s">
        <v>113</v>
      </c>
      <c r="M63" s="9" t="s">
        <v>30</v>
      </c>
      <c r="N63" s="179">
        <v>0</v>
      </c>
      <c r="O63" s="179">
        <v>0</v>
      </c>
      <c r="P63" s="179">
        <v>75000</v>
      </c>
      <c r="Q63" s="179">
        <v>0</v>
      </c>
      <c r="R63" s="179">
        <v>0</v>
      </c>
      <c r="S63" s="179">
        <v>0</v>
      </c>
    </row>
    <row r="64" spans="1:19" s="20" customFormat="1" ht="102.75" customHeight="1" x14ac:dyDescent="0.2">
      <c r="A64" s="14">
        <v>2600</v>
      </c>
      <c r="B64" s="159" t="s">
        <v>463</v>
      </c>
      <c r="C64" s="86"/>
      <c r="D64" s="87"/>
      <c r="E64" s="88"/>
      <c r="F64" s="88"/>
      <c r="G64" s="88"/>
      <c r="H64" s="89"/>
      <c r="I64" s="88"/>
      <c r="J64" s="88"/>
      <c r="K64" s="202"/>
      <c r="L64" s="15"/>
      <c r="M64" s="15"/>
      <c r="N64" s="185">
        <f t="shared" ref="N64:S64" si="12">N65+N69+N71</f>
        <v>20762808</v>
      </c>
      <c r="O64" s="185">
        <f t="shared" si="12"/>
        <v>20749083.509999998</v>
      </c>
      <c r="P64" s="185">
        <f t="shared" si="12"/>
        <v>22005449</v>
      </c>
      <c r="Q64" s="185">
        <f t="shared" si="12"/>
        <v>21535972</v>
      </c>
      <c r="R64" s="185">
        <f t="shared" si="12"/>
        <v>21565972</v>
      </c>
      <c r="S64" s="185">
        <f t="shared" si="12"/>
        <v>21565972</v>
      </c>
    </row>
    <row r="65" spans="1:19" ht="45" x14ac:dyDescent="0.25">
      <c r="A65" s="294" t="s">
        <v>453</v>
      </c>
      <c r="B65" s="278" t="s">
        <v>524</v>
      </c>
      <c r="C65" s="296">
        <v>903</v>
      </c>
      <c r="D65" s="272" t="s">
        <v>131</v>
      </c>
      <c r="E65" s="278" t="s">
        <v>20</v>
      </c>
      <c r="F65" s="278" t="s">
        <v>334</v>
      </c>
      <c r="G65" s="263" t="s">
        <v>21</v>
      </c>
      <c r="H65" s="278" t="s">
        <v>24</v>
      </c>
      <c r="I65" s="299" t="s">
        <v>48</v>
      </c>
      <c r="J65" s="263" t="s">
        <v>26</v>
      </c>
      <c r="K65" s="55" t="s">
        <v>29</v>
      </c>
      <c r="L65" s="4"/>
      <c r="M65" s="9" t="s">
        <v>30</v>
      </c>
      <c r="N65" s="261">
        <v>18420180</v>
      </c>
      <c r="O65" s="261">
        <v>18419883.079999998</v>
      </c>
      <c r="P65" s="261">
        <f>17927972+1000000+45000</f>
        <v>18972972</v>
      </c>
      <c r="Q65" s="261">
        <f>17507972+1000000</f>
        <v>18507972</v>
      </c>
      <c r="R65" s="261">
        <f>17537972+1000000</f>
        <v>18537972</v>
      </c>
      <c r="S65" s="261">
        <v>18537972</v>
      </c>
    </row>
    <row r="66" spans="1:19" ht="60" x14ac:dyDescent="0.25">
      <c r="A66" s="295"/>
      <c r="B66" s="285"/>
      <c r="C66" s="297"/>
      <c r="D66" s="273"/>
      <c r="E66" s="282"/>
      <c r="F66" s="282"/>
      <c r="G66" s="264"/>
      <c r="H66" s="282"/>
      <c r="I66" s="300"/>
      <c r="J66" s="264"/>
      <c r="K66" s="55" t="s">
        <v>380</v>
      </c>
      <c r="L66" s="9"/>
      <c r="M66" s="9" t="s">
        <v>133</v>
      </c>
      <c r="N66" s="262"/>
      <c r="O66" s="262"/>
      <c r="P66" s="262"/>
      <c r="Q66" s="262"/>
      <c r="R66" s="262"/>
      <c r="S66" s="262"/>
    </row>
    <row r="67" spans="1:19" ht="99.75" customHeight="1" x14ac:dyDescent="0.25">
      <c r="A67" s="295"/>
      <c r="B67" s="285"/>
      <c r="C67" s="297"/>
      <c r="D67" s="273"/>
      <c r="E67" s="100" t="s">
        <v>22</v>
      </c>
      <c r="F67" s="101" t="s">
        <v>48</v>
      </c>
      <c r="G67" s="100" t="s">
        <v>23</v>
      </c>
      <c r="H67" s="278" t="s">
        <v>27</v>
      </c>
      <c r="I67" s="133" t="s">
        <v>48</v>
      </c>
      <c r="J67" s="130" t="s">
        <v>28</v>
      </c>
      <c r="K67" s="55" t="s">
        <v>136</v>
      </c>
      <c r="L67" s="9"/>
      <c r="M67" s="9" t="s">
        <v>570</v>
      </c>
      <c r="N67" s="262"/>
      <c r="O67" s="262"/>
      <c r="P67" s="262"/>
      <c r="Q67" s="262"/>
      <c r="R67" s="262"/>
      <c r="S67" s="262"/>
    </row>
    <row r="68" spans="1:19" ht="133.5" customHeight="1" x14ac:dyDescent="0.25">
      <c r="A68" s="252"/>
      <c r="B68" s="249"/>
      <c r="C68" s="253"/>
      <c r="D68" s="248"/>
      <c r="E68" s="251"/>
      <c r="F68" s="101"/>
      <c r="G68" s="251"/>
      <c r="H68" s="279"/>
      <c r="I68" s="250"/>
      <c r="J68" s="246"/>
      <c r="K68" s="55" t="s">
        <v>571</v>
      </c>
      <c r="L68" s="9"/>
      <c r="M68" s="9" t="s">
        <v>572</v>
      </c>
      <c r="N68" s="244"/>
      <c r="O68" s="244"/>
      <c r="P68" s="244"/>
      <c r="Q68" s="244"/>
      <c r="R68" s="244"/>
      <c r="S68" s="244"/>
    </row>
    <row r="69" spans="1:19" ht="60" x14ac:dyDescent="0.25">
      <c r="A69" s="218">
        <v>2604</v>
      </c>
      <c r="B69" s="216" t="s">
        <v>525</v>
      </c>
      <c r="C69" s="293">
        <v>903</v>
      </c>
      <c r="D69" s="272" t="s">
        <v>371</v>
      </c>
      <c r="E69" s="278" t="s">
        <v>20</v>
      </c>
      <c r="F69" s="278" t="s">
        <v>132</v>
      </c>
      <c r="G69" s="278" t="s">
        <v>90</v>
      </c>
      <c r="H69" s="263"/>
      <c r="I69" s="296"/>
      <c r="J69" s="263"/>
      <c r="K69" s="55" t="s">
        <v>29</v>
      </c>
      <c r="L69" s="55" t="s">
        <v>337</v>
      </c>
      <c r="M69" s="55" t="s">
        <v>30</v>
      </c>
      <c r="N69" s="261">
        <v>0</v>
      </c>
      <c r="O69" s="261">
        <v>0</v>
      </c>
      <c r="P69" s="261">
        <v>4477</v>
      </c>
      <c r="Q69" s="261">
        <v>0</v>
      </c>
      <c r="R69" s="261">
        <v>0</v>
      </c>
      <c r="S69" s="261">
        <v>0</v>
      </c>
    </row>
    <row r="70" spans="1:19" ht="75" x14ac:dyDescent="0.25">
      <c r="A70" s="106"/>
      <c r="B70" s="108"/>
      <c r="C70" s="264"/>
      <c r="D70" s="274"/>
      <c r="E70" s="282"/>
      <c r="F70" s="282"/>
      <c r="G70" s="282"/>
      <c r="H70" s="264"/>
      <c r="I70" s="298"/>
      <c r="J70" s="264"/>
      <c r="K70" s="55" t="s">
        <v>411</v>
      </c>
      <c r="L70" s="55"/>
      <c r="M70" s="55" t="s">
        <v>412</v>
      </c>
      <c r="N70" s="271"/>
      <c r="O70" s="271"/>
      <c r="P70" s="271"/>
      <c r="Q70" s="271"/>
      <c r="R70" s="271"/>
      <c r="S70" s="271"/>
    </row>
    <row r="71" spans="1:19" ht="120" x14ac:dyDescent="0.25">
      <c r="A71" s="71">
        <v>2623</v>
      </c>
      <c r="B71" s="93" t="s">
        <v>526</v>
      </c>
      <c r="C71" s="109">
        <v>903</v>
      </c>
      <c r="D71" s="107" t="s">
        <v>340</v>
      </c>
      <c r="E71" s="108" t="s">
        <v>20</v>
      </c>
      <c r="F71" s="108" t="s">
        <v>341</v>
      </c>
      <c r="G71" s="108" t="s">
        <v>90</v>
      </c>
      <c r="H71" s="108" t="s">
        <v>24</v>
      </c>
      <c r="I71" s="108" t="s">
        <v>298</v>
      </c>
      <c r="J71" s="108" t="s">
        <v>26</v>
      </c>
      <c r="K71" s="55" t="s">
        <v>342</v>
      </c>
      <c r="L71" s="55"/>
      <c r="M71" s="55" t="s">
        <v>413</v>
      </c>
      <c r="N71" s="261">
        <v>2342628</v>
      </c>
      <c r="O71" s="261">
        <v>2329200.4300000002</v>
      </c>
      <c r="P71" s="261">
        <v>3028000</v>
      </c>
      <c r="Q71" s="261">
        <v>3028000</v>
      </c>
      <c r="R71" s="261">
        <v>3028000</v>
      </c>
      <c r="S71" s="261">
        <v>3028000</v>
      </c>
    </row>
    <row r="72" spans="1:19" ht="120" x14ac:dyDescent="0.25">
      <c r="A72" s="106"/>
      <c r="B72" s="108"/>
      <c r="C72" s="106"/>
      <c r="D72" s="107"/>
      <c r="E72" s="108"/>
      <c r="F72" s="108"/>
      <c r="G72" s="108"/>
      <c r="H72" s="91"/>
      <c r="I72" s="110"/>
      <c r="J72" s="108"/>
      <c r="K72" s="55" t="s">
        <v>414</v>
      </c>
      <c r="L72" s="55"/>
      <c r="M72" s="55" t="s">
        <v>499</v>
      </c>
      <c r="N72" s="271"/>
      <c r="O72" s="271"/>
      <c r="P72" s="271"/>
      <c r="Q72" s="271"/>
      <c r="R72" s="271"/>
      <c r="S72" s="271"/>
    </row>
    <row r="73" spans="1:19" s="20" customFormat="1" ht="57" x14ac:dyDescent="0.2">
      <c r="A73" s="30"/>
      <c r="B73" s="29" t="s">
        <v>137</v>
      </c>
      <c r="C73" s="30">
        <v>904</v>
      </c>
      <c r="D73" s="31"/>
      <c r="E73" s="29"/>
      <c r="F73" s="29"/>
      <c r="G73" s="29"/>
      <c r="H73" s="29"/>
      <c r="I73" s="29"/>
      <c r="J73" s="29"/>
      <c r="K73" s="203"/>
      <c r="L73" s="29"/>
      <c r="M73" s="29"/>
      <c r="N73" s="184">
        <f t="shared" ref="N73:S73" si="13">N74</f>
        <v>43396659</v>
      </c>
      <c r="O73" s="184">
        <f t="shared" si="13"/>
        <v>43395138.25</v>
      </c>
      <c r="P73" s="184">
        <f t="shared" si="13"/>
        <v>49022449</v>
      </c>
      <c r="Q73" s="184">
        <f t="shared" si="13"/>
        <v>41947577</v>
      </c>
      <c r="R73" s="184">
        <f t="shared" si="13"/>
        <v>41977577</v>
      </c>
      <c r="S73" s="184">
        <f t="shared" si="13"/>
        <v>41977577</v>
      </c>
    </row>
    <row r="74" spans="1:19" s="20" customFormat="1" ht="57" x14ac:dyDescent="0.2">
      <c r="A74" s="81">
        <v>2500</v>
      </c>
      <c r="B74" s="85" t="s">
        <v>462</v>
      </c>
      <c r="C74" s="14">
        <v>904</v>
      </c>
      <c r="D74" s="23"/>
      <c r="E74" s="15"/>
      <c r="F74" s="15"/>
      <c r="G74" s="15"/>
      <c r="H74" s="15"/>
      <c r="I74" s="15"/>
      <c r="J74" s="15"/>
      <c r="K74" s="202"/>
      <c r="L74" s="15"/>
      <c r="M74" s="15"/>
      <c r="N74" s="178">
        <f t="shared" ref="N74:S74" si="14">N75+N81</f>
        <v>43396659</v>
      </c>
      <c r="O74" s="178">
        <f t="shared" si="14"/>
        <v>43395138.25</v>
      </c>
      <c r="P74" s="178">
        <f t="shared" si="14"/>
        <v>49022449</v>
      </c>
      <c r="Q74" s="178">
        <f t="shared" si="14"/>
        <v>41947577</v>
      </c>
      <c r="R74" s="178">
        <f t="shared" si="14"/>
        <v>41977577</v>
      </c>
      <c r="S74" s="178">
        <f t="shared" si="14"/>
        <v>41977577</v>
      </c>
    </row>
    <row r="75" spans="1:19" ht="120" x14ac:dyDescent="0.25">
      <c r="A75" s="263">
        <v>2517</v>
      </c>
      <c r="B75" s="278" t="s">
        <v>138</v>
      </c>
      <c r="C75" s="263">
        <v>904</v>
      </c>
      <c r="D75" s="272" t="s">
        <v>140</v>
      </c>
      <c r="E75" s="9" t="s">
        <v>139</v>
      </c>
      <c r="F75" s="9" t="s">
        <v>141</v>
      </c>
      <c r="G75" s="9" t="s">
        <v>142</v>
      </c>
      <c r="H75" s="9" t="s">
        <v>143</v>
      </c>
      <c r="I75" s="9" t="s">
        <v>46</v>
      </c>
      <c r="J75" s="9" t="s">
        <v>144</v>
      </c>
      <c r="K75" s="55" t="s">
        <v>148</v>
      </c>
      <c r="L75" s="9"/>
      <c r="M75" s="9" t="s">
        <v>576</v>
      </c>
      <c r="N75" s="261">
        <f>43396659-N81</f>
        <v>42656284.25</v>
      </c>
      <c r="O75" s="261">
        <f>43395138.25-O81</f>
        <v>42654763.5</v>
      </c>
      <c r="P75" s="261">
        <f>49022449-P81</f>
        <v>48027749</v>
      </c>
      <c r="Q75" s="261">
        <f>41947577-Q81</f>
        <v>40952877</v>
      </c>
      <c r="R75" s="261">
        <f>41977577-R81</f>
        <v>40952877</v>
      </c>
      <c r="S75" s="261">
        <f>41977577-S81</f>
        <v>40952877</v>
      </c>
    </row>
    <row r="76" spans="1:19" ht="153" customHeight="1" x14ac:dyDescent="0.25">
      <c r="A76" s="289"/>
      <c r="B76" s="285"/>
      <c r="C76" s="289"/>
      <c r="D76" s="273"/>
      <c r="E76" s="9"/>
      <c r="F76" s="9"/>
      <c r="G76" s="9"/>
      <c r="H76" s="9"/>
      <c r="I76" s="9"/>
      <c r="J76" s="9"/>
      <c r="K76" s="55" t="s">
        <v>573</v>
      </c>
      <c r="L76" s="9"/>
      <c r="M76" s="9" t="s">
        <v>577</v>
      </c>
      <c r="N76" s="262"/>
      <c r="O76" s="262"/>
      <c r="P76" s="262"/>
      <c r="Q76" s="262"/>
      <c r="R76" s="262"/>
      <c r="S76" s="262"/>
    </row>
    <row r="77" spans="1:19" ht="285" x14ac:dyDescent="0.25">
      <c r="A77" s="289"/>
      <c r="B77" s="285"/>
      <c r="C77" s="289"/>
      <c r="D77" s="273"/>
      <c r="E77" s="9"/>
      <c r="F77" s="9"/>
      <c r="G77" s="9"/>
      <c r="H77" s="9" t="s">
        <v>145</v>
      </c>
      <c r="I77" s="9" t="s">
        <v>146</v>
      </c>
      <c r="J77" s="9" t="s">
        <v>147</v>
      </c>
      <c r="K77" s="55" t="s">
        <v>149</v>
      </c>
      <c r="L77" s="9"/>
      <c r="M77" s="16" t="s">
        <v>490</v>
      </c>
      <c r="N77" s="262"/>
      <c r="O77" s="262"/>
      <c r="P77" s="262"/>
      <c r="Q77" s="262"/>
      <c r="R77" s="262"/>
      <c r="S77" s="262"/>
    </row>
    <row r="78" spans="1:19" ht="135" x14ac:dyDescent="0.25">
      <c r="A78" s="289"/>
      <c r="B78" s="285"/>
      <c r="C78" s="289"/>
      <c r="D78" s="273"/>
      <c r="E78" s="9"/>
      <c r="F78" s="9"/>
      <c r="G78" s="9"/>
      <c r="H78" s="9"/>
      <c r="I78" s="9"/>
      <c r="J78" s="9"/>
      <c r="K78" s="55" t="s">
        <v>491</v>
      </c>
      <c r="L78" s="9"/>
      <c r="M78" s="16" t="s">
        <v>492</v>
      </c>
      <c r="N78" s="262"/>
      <c r="O78" s="262"/>
      <c r="P78" s="262"/>
      <c r="Q78" s="262"/>
      <c r="R78" s="262"/>
      <c r="S78" s="262"/>
    </row>
    <row r="79" spans="1:19" ht="105" x14ac:dyDescent="0.25">
      <c r="A79" s="289"/>
      <c r="B79" s="285"/>
      <c r="C79" s="289"/>
      <c r="D79" s="273"/>
      <c r="E79" s="9"/>
      <c r="F79" s="9"/>
      <c r="G79" s="9"/>
      <c r="H79" s="9"/>
      <c r="I79" s="9"/>
      <c r="J79" s="9"/>
      <c r="K79" s="55" t="s">
        <v>150</v>
      </c>
      <c r="L79" s="9"/>
      <c r="M79" s="16">
        <v>41241</v>
      </c>
      <c r="N79" s="262"/>
      <c r="O79" s="262"/>
      <c r="P79" s="271"/>
      <c r="Q79" s="271"/>
      <c r="R79" s="262"/>
      <c r="S79" s="262"/>
    </row>
    <row r="80" spans="1:19" ht="105" x14ac:dyDescent="0.25">
      <c r="A80" s="259"/>
      <c r="B80" s="258"/>
      <c r="C80" s="259"/>
      <c r="D80" s="256"/>
      <c r="E80" s="9"/>
      <c r="F80" s="9"/>
      <c r="G80" s="9"/>
      <c r="H80" s="257"/>
      <c r="I80" s="257"/>
      <c r="J80" s="257"/>
      <c r="K80" s="254" t="s">
        <v>582</v>
      </c>
      <c r="L80" s="9"/>
      <c r="M80" s="16"/>
      <c r="N80" s="255"/>
      <c r="O80" s="255"/>
      <c r="P80" s="255"/>
      <c r="Q80" s="255"/>
      <c r="R80" s="255"/>
      <c r="S80" s="255"/>
    </row>
    <row r="81" spans="1:19" ht="45" x14ac:dyDescent="0.25">
      <c r="A81" s="263">
        <v>2520</v>
      </c>
      <c r="B81" s="278" t="s">
        <v>151</v>
      </c>
      <c r="C81" s="263">
        <v>904</v>
      </c>
      <c r="D81" s="272" t="s">
        <v>140</v>
      </c>
      <c r="E81" s="9" t="s">
        <v>152</v>
      </c>
      <c r="F81" s="9" t="s">
        <v>155</v>
      </c>
      <c r="G81" s="9" t="s">
        <v>153</v>
      </c>
      <c r="H81" s="263"/>
      <c r="I81" s="263"/>
      <c r="J81" s="263"/>
      <c r="K81" s="55" t="s">
        <v>29</v>
      </c>
      <c r="L81" s="9" t="s">
        <v>156</v>
      </c>
      <c r="M81" s="9" t="s">
        <v>30</v>
      </c>
      <c r="N81" s="261">
        <v>740374.75</v>
      </c>
      <c r="O81" s="261">
        <v>740374.75</v>
      </c>
      <c r="P81" s="261">
        <v>994700</v>
      </c>
      <c r="Q81" s="261">
        <v>994700</v>
      </c>
      <c r="R81" s="261">
        <v>1024700</v>
      </c>
      <c r="S81" s="261">
        <v>1024700</v>
      </c>
    </row>
    <row r="82" spans="1:19" ht="120" x14ac:dyDescent="0.25">
      <c r="A82" s="289"/>
      <c r="B82" s="285"/>
      <c r="C82" s="289"/>
      <c r="D82" s="273"/>
      <c r="E82" s="9" t="s">
        <v>20</v>
      </c>
      <c r="F82" s="9" t="s">
        <v>154</v>
      </c>
      <c r="G82" s="9" t="s">
        <v>90</v>
      </c>
      <c r="H82" s="289"/>
      <c r="I82" s="289"/>
      <c r="J82" s="289"/>
      <c r="K82" s="55" t="s">
        <v>447</v>
      </c>
      <c r="L82" s="9"/>
      <c r="M82" s="24" t="s">
        <v>448</v>
      </c>
      <c r="N82" s="262"/>
      <c r="O82" s="262"/>
      <c r="P82" s="262"/>
      <c r="Q82" s="262"/>
      <c r="R82" s="262"/>
      <c r="S82" s="262"/>
    </row>
    <row r="83" spans="1:19" ht="90" x14ac:dyDescent="0.25">
      <c r="A83" s="95"/>
      <c r="B83" s="96"/>
      <c r="C83" s="95"/>
      <c r="D83" s="97"/>
      <c r="E83" s="9"/>
      <c r="F83" s="9"/>
      <c r="G83" s="9"/>
      <c r="H83" s="95"/>
      <c r="I83" s="95"/>
      <c r="J83" s="95"/>
      <c r="K83" s="55" t="s">
        <v>391</v>
      </c>
      <c r="L83" s="9"/>
      <c r="M83" s="9" t="s">
        <v>392</v>
      </c>
      <c r="N83" s="176"/>
      <c r="O83" s="176"/>
      <c r="P83" s="176"/>
      <c r="Q83" s="176"/>
      <c r="R83" s="176"/>
      <c r="S83" s="176"/>
    </row>
    <row r="84" spans="1:19" s="20" customFormat="1" ht="28.5" x14ac:dyDescent="0.2">
      <c r="A84" s="30"/>
      <c r="B84" s="29" t="s">
        <v>157</v>
      </c>
      <c r="C84" s="30">
        <v>906</v>
      </c>
      <c r="D84" s="31"/>
      <c r="E84" s="29"/>
      <c r="F84" s="29"/>
      <c r="G84" s="29"/>
      <c r="H84" s="29"/>
      <c r="I84" s="29"/>
      <c r="J84" s="29"/>
      <c r="K84" s="203"/>
      <c r="L84" s="29"/>
      <c r="M84" s="29"/>
      <c r="N84" s="184">
        <f>N85+N107+N103+N114</f>
        <v>1859357169.3199999</v>
      </c>
      <c r="O84" s="184">
        <f>O85+O107+O103+O114</f>
        <v>1842433457</v>
      </c>
      <c r="P84" s="184">
        <f>P85+P107+P103+P114</f>
        <v>1951695373</v>
      </c>
      <c r="Q84" s="184">
        <f>Q85+Q107+Q103+Q114</f>
        <v>1946711969</v>
      </c>
      <c r="R84" s="184">
        <f>R85+R107+R103+R114</f>
        <v>1871122275</v>
      </c>
      <c r="S84" s="184">
        <f>S85+S107+S103+S114</f>
        <v>1813919962</v>
      </c>
    </row>
    <row r="85" spans="1:19" s="20" customFormat="1" ht="57" x14ac:dyDescent="0.2">
      <c r="A85" s="82">
        <v>2500</v>
      </c>
      <c r="B85" s="90" t="s">
        <v>462</v>
      </c>
      <c r="C85" s="21"/>
      <c r="D85" s="23"/>
      <c r="E85" s="15"/>
      <c r="F85" s="15"/>
      <c r="G85" s="15"/>
      <c r="H85" s="15"/>
      <c r="I85" s="15"/>
      <c r="J85" s="15"/>
      <c r="K85" s="202"/>
      <c r="L85" s="15"/>
      <c r="M85" s="15"/>
      <c r="N85" s="178">
        <f t="shared" ref="N85:S85" si="15">N86+N101</f>
        <v>630049286.28999996</v>
      </c>
      <c r="O85" s="178">
        <f t="shared" si="15"/>
        <v>628324748.93999994</v>
      </c>
      <c r="P85" s="178">
        <f t="shared" si="15"/>
        <v>641126849.38</v>
      </c>
      <c r="Q85" s="178">
        <f t="shared" si="15"/>
        <v>637052269.29999995</v>
      </c>
      <c r="R85" s="178">
        <f t="shared" si="15"/>
        <v>560236349.16000009</v>
      </c>
      <c r="S85" s="178">
        <f t="shared" si="15"/>
        <v>558174473</v>
      </c>
    </row>
    <row r="86" spans="1:19" ht="195" x14ac:dyDescent="0.25">
      <c r="A86" s="289" t="s">
        <v>527</v>
      </c>
      <c r="B86" s="285" t="s">
        <v>158</v>
      </c>
      <c r="C86" s="289">
        <v>906</v>
      </c>
      <c r="D86" s="273" t="s">
        <v>159</v>
      </c>
      <c r="E86" s="76" t="s">
        <v>20</v>
      </c>
      <c r="F86" s="76" t="s">
        <v>160</v>
      </c>
      <c r="G86" s="76" t="s">
        <v>90</v>
      </c>
      <c r="H86" s="76" t="s">
        <v>161</v>
      </c>
      <c r="I86" s="9" t="s">
        <v>118</v>
      </c>
      <c r="J86" s="9" t="s">
        <v>162</v>
      </c>
      <c r="K86" s="55" t="s">
        <v>395</v>
      </c>
      <c r="L86" s="9"/>
      <c r="M86" s="9" t="s">
        <v>396</v>
      </c>
      <c r="N86" s="261">
        <v>572444438.00999999</v>
      </c>
      <c r="O86" s="261">
        <v>570805347.28999996</v>
      </c>
      <c r="P86" s="261">
        <v>580877166.38</v>
      </c>
      <c r="Q86" s="261">
        <v>577074923.29999995</v>
      </c>
      <c r="R86" s="261">
        <v>500259003.16000003</v>
      </c>
      <c r="S86" s="261">
        <v>498197127</v>
      </c>
    </row>
    <row r="87" spans="1:19" ht="60" x14ac:dyDescent="0.25">
      <c r="A87" s="289"/>
      <c r="B87" s="285"/>
      <c r="C87" s="289"/>
      <c r="D87" s="273"/>
      <c r="E87" s="9"/>
      <c r="F87" s="9"/>
      <c r="G87" s="9"/>
      <c r="H87" s="9" t="s">
        <v>163</v>
      </c>
      <c r="I87" s="9" t="s">
        <v>48</v>
      </c>
      <c r="J87" s="9" t="s">
        <v>164</v>
      </c>
      <c r="K87" s="55" t="s">
        <v>29</v>
      </c>
      <c r="L87" s="9" t="s">
        <v>165</v>
      </c>
      <c r="M87" s="9" t="s">
        <v>30</v>
      </c>
      <c r="N87" s="262"/>
      <c r="O87" s="262"/>
      <c r="P87" s="262"/>
      <c r="Q87" s="262"/>
      <c r="R87" s="262"/>
      <c r="S87" s="262"/>
    </row>
    <row r="88" spans="1:19" ht="90" x14ac:dyDescent="0.25">
      <c r="A88" s="289"/>
      <c r="B88" s="285"/>
      <c r="C88" s="289"/>
      <c r="D88" s="273"/>
      <c r="E88" s="9"/>
      <c r="F88" s="9"/>
      <c r="G88" s="9"/>
      <c r="H88" s="9"/>
      <c r="I88" s="9"/>
      <c r="J88" s="9"/>
      <c r="K88" s="55" t="s">
        <v>168</v>
      </c>
      <c r="L88" s="9"/>
      <c r="M88" s="9" t="s">
        <v>169</v>
      </c>
      <c r="N88" s="262"/>
      <c r="O88" s="262"/>
      <c r="P88" s="262"/>
      <c r="Q88" s="262"/>
      <c r="R88" s="262"/>
      <c r="S88" s="262"/>
    </row>
    <row r="89" spans="1:19" ht="135" x14ac:dyDescent="0.25">
      <c r="A89" s="289"/>
      <c r="B89" s="285"/>
      <c r="C89" s="289"/>
      <c r="D89" s="273"/>
      <c r="E89" s="9"/>
      <c r="F89" s="9"/>
      <c r="G89" s="9"/>
      <c r="H89" s="9"/>
      <c r="I89" s="9"/>
      <c r="J89" s="9"/>
      <c r="K89" s="55" t="s">
        <v>166</v>
      </c>
      <c r="L89" s="9"/>
      <c r="M89" s="9" t="s">
        <v>167</v>
      </c>
      <c r="N89" s="262"/>
      <c r="O89" s="262"/>
      <c r="P89" s="262"/>
      <c r="Q89" s="262"/>
      <c r="R89" s="262"/>
      <c r="S89" s="262"/>
    </row>
    <row r="90" spans="1:19" ht="285" x14ac:dyDescent="0.25">
      <c r="A90" s="289"/>
      <c r="B90" s="285"/>
      <c r="C90" s="289"/>
      <c r="D90" s="273"/>
      <c r="E90" s="9"/>
      <c r="F90" s="9"/>
      <c r="G90" s="9"/>
      <c r="H90" s="9"/>
      <c r="I90" s="9"/>
      <c r="J90" s="9"/>
      <c r="K90" s="55" t="s">
        <v>344</v>
      </c>
      <c r="L90" s="9"/>
      <c r="M90" s="9" t="s">
        <v>345</v>
      </c>
      <c r="N90" s="262"/>
      <c r="O90" s="262"/>
      <c r="P90" s="262"/>
      <c r="Q90" s="262"/>
      <c r="R90" s="262"/>
      <c r="S90" s="262"/>
    </row>
    <row r="91" spans="1:19" ht="90" x14ac:dyDescent="0.25">
      <c r="A91" s="116"/>
      <c r="B91" s="114"/>
      <c r="C91" s="116"/>
      <c r="D91" s="115"/>
      <c r="E91" s="9"/>
      <c r="F91" s="9"/>
      <c r="G91" s="9"/>
      <c r="H91" s="9"/>
      <c r="I91" s="9"/>
      <c r="J91" s="9"/>
      <c r="K91" s="125" t="s">
        <v>419</v>
      </c>
      <c r="L91" s="24"/>
      <c r="M91" s="24" t="s">
        <v>421</v>
      </c>
      <c r="N91" s="174"/>
      <c r="O91" s="174"/>
      <c r="P91" s="174"/>
      <c r="Q91" s="174"/>
      <c r="R91" s="174"/>
      <c r="S91" s="174"/>
    </row>
    <row r="92" spans="1:19" ht="165" x14ac:dyDescent="0.25">
      <c r="A92" s="138"/>
      <c r="B92" s="136"/>
      <c r="C92" s="138"/>
      <c r="D92" s="137"/>
      <c r="E92" s="9"/>
      <c r="F92" s="9"/>
      <c r="G92" s="9"/>
      <c r="H92" s="9"/>
      <c r="I92" s="9"/>
      <c r="J92" s="9"/>
      <c r="K92" s="125" t="s">
        <v>437</v>
      </c>
      <c r="L92" s="24"/>
      <c r="M92" s="24" t="s">
        <v>438</v>
      </c>
      <c r="N92" s="174"/>
      <c r="O92" s="174"/>
      <c r="P92" s="174"/>
      <c r="Q92" s="174"/>
      <c r="R92" s="174"/>
      <c r="S92" s="174"/>
    </row>
    <row r="93" spans="1:19" ht="135" x14ac:dyDescent="0.25">
      <c r="A93" s="118"/>
      <c r="B93" s="120"/>
      <c r="C93" s="118"/>
      <c r="D93" s="119"/>
      <c r="E93" s="9"/>
      <c r="F93" s="9"/>
      <c r="G93" s="9"/>
      <c r="H93" s="9"/>
      <c r="I93" s="9"/>
      <c r="J93" s="9"/>
      <c r="K93" s="125" t="s">
        <v>422</v>
      </c>
      <c r="L93" s="24"/>
      <c r="M93" s="24" t="s">
        <v>423</v>
      </c>
      <c r="N93" s="174"/>
      <c r="O93" s="174"/>
      <c r="P93" s="174"/>
      <c r="Q93" s="174"/>
      <c r="R93" s="174"/>
      <c r="S93" s="174"/>
    </row>
    <row r="94" spans="1:19" ht="240" x14ac:dyDescent="0.25">
      <c r="A94" s="121"/>
      <c r="B94" s="123"/>
      <c r="C94" s="121"/>
      <c r="D94" s="122"/>
      <c r="E94" s="9"/>
      <c r="F94" s="9"/>
      <c r="G94" s="9"/>
      <c r="H94" s="9"/>
      <c r="I94" s="9"/>
      <c r="J94" s="9"/>
      <c r="K94" s="125" t="s">
        <v>424</v>
      </c>
      <c r="L94" s="125"/>
      <c r="M94" s="125" t="s">
        <v>427</v>
      </c>
      <c r="N94" s="174"/>
      <c r="O94" s="174"/>
      <c r="P94" s="174"/>
      <c r="Q94" s="174"/>
      <c r="R94" s="174"/>
      <c r="S94" s="174"/>
    </row>
    <row r="95" spans="1:19" ht="120" x14ac:dyDescent="0.25">
      <c r="A95" s="222"/>
      <c r="B95" s="231"/>
      <c r="C95" s="121"/>
      <c r="D95" s="122"/>
      <c r="E95" s="9"/>
      <c r="F95" s="9"/>
      <c r="G95" s="9"/>
      <c r="H95" s="9"/>
      <c r="I95" s="9"/>
      <c r="J95" s="9"/>
      <c r="K95" s="125" t="s">
        <v>425</v>
      </c>
      <c r="L95" s="124"/>
      <c r="M95" s="9" t="s">
        <v>426</v>
      </c>
      <c r="N95" s="174"/>
      <c r="O95" s="174"/>
      <c r="P95" s="174"/>
      <c r="Q95" s="174"/>
      <c r="R95" s="174"/>
      <c r="S95" s="174"/>
    </row>
    <row r="96" spans="1:19" ht="150" x14ac:dyDescent="0.25">
      <c r="A96" s="222"/>
      <c r="B96" s="223"/>
      <c r="C96" s="214"/>
      <c r="D96" s="99"/>
      <c r="E96" s="9"/>
      <c r="F96" s="9"/>
      <c r="G96" s="9"/>
      <c r="H96" s="9"/>
      <c r="I96" s="9"/>
      <c r="J96" s="9"/>
      <c r="K96" s="55" t="s">
        <v>400</v>
      </c>
      <c r="L96" s="9"/>
      <c r="M96" s="9" t="s">
        <v>401</v>
      </c>
      <c r="N96" s="176"/>
      <c r="O96" s="176"/>
      <c r="P96" s="176"/>
      <c r="Q96" s="176"/>
      <c r="R96" s="176"/>
      <c r="S96" s="176"/>
    </row>
    <row r="97" spans="1:19" ht="360" x14ac:dyDescent="0.25">
      <c r="A97" s="289"/>
      <c r="B97" s="223"/>
      <c r="C97" s="214"/>
      <c r="D97" s="140"/>
      <c r="E97" s="9"/>
      <c r="F97" s="9"/>
      <c r="G97" s="9"/>
      <c r="H97" s="9"/>
      <c r="I97" s="9"/>
      <c r="J97" s="9"/>
      <c r="K97" s="55" t="s">
        <v>439</v>
      </c>
      <c r="L97" s="9"/>
      <c r="M97" s="9" t="s">
        <v>440</v>
      </c>
      <c r="N97" s="176"/>
      <c r="O97" s="176"/>
      <c r="P97" s="176"/>
      <c r="Q97" s="176"/>
      <c r="R97" s="176"/>
      <c r="S97" s="176"/>
    </row>
    <row r="98" spans="1:19" ht="105" x14ac:dyDescent="0.25">
      <c r="A98" s="289"/>
      <c r="B98" s="234"/>
      <c r="C98" s="230"/>
      <c r="D98" s="235"/>
      <c r="E98" s="62"/>
      <c r="F98" s="9"/>
      <c r="G98" s="9"/>
      <c r="H98" s="9"/>
      <c r="I98" s="9"/>
      <c r="J98" s="9"/>
      <c r="K98" s="55" t="s">
        <v>549</v>
      </c>
      <c r="L98" s="9"/>
      <c r="M98" s="9" t="s">
        <v>550</v>
      </c>
      <c r="N98" s="233"/>
      <c r="O98" s="233"/>
      <c r="P98" s="233"/>
      <c r="Q98" s="233"/>
      <c r="R98" s="233"/>
      <c r="S98" s="233"/>
    </row>
    <row r="99" spans="1:19" ht="180" x14ac:dyDescent="0.25">
      <c r="A99" s="289"/>
      <c r="B99" s="238"/>
      <c r="C99" s="230"/>
      <c r="D99" s="237"/>
      <c r="E99" s="62"/>
      <c r="F99" s="9"/>
      <c r="G99" s="9"/>
      <c r="H99" s="9"/>
      <c r="I99" s="9"/>
      <c r="J99" s="9"/>
      <c r="K99" s="55" t="s">
        <v>553</v>
      </c>
      <c r="L99" s="55"/>
      <c r="M99" s="55" t="s">
        <v>555</v>
      </c>
      <c r="N99" s="236"/>
      <c r="O99" s="236"/>
      <c r="P99" s="236"/>
      <c r="Q99" s="236"/>
      <c r="R99" s="236"/>
      <c r="S99" s="236"/>
    </row>
    <row r="100" spans="1:19" ht="195" x14ac:dyDescent="0.25">
      <c r="A100" s="264"/>
      <c r="B100" s="220"/>
      <c r="C100" s="230"/>
      <c r="D100" s="224"/>
      <c r="E100" s="62"/>
      <c r="F100" s="9"/>
      <c r="G100" s="9"/>
      <c r="H100" s="9"/>
      <c r="I100" s="9"/>
      <c r="J100" s="9"/>
      <c r="K100" s="55" t="s">
        <v>541</v>
      </c>
      <c r="L100" s="9"/>
      <c r="M100" s="9" t="s">
        <v>551</v>
      </c>
      <c r="N100" s="221"/>
      <c r="O100" s="221"/>
      <c r="P100" s="221"/>
      <c r="Q100" s="221"/>
      <c r="R100" s="221"/>
      <c r="S100" s="221"/>
    </row>
    <row r="101" spans="1:19" ht="218.25" customHeight="1" x14ac:dyDescent="0.25">
      <c r="A101" s="225">
        <v>2527</v>
      </c>
      <c r="B101" s="291" t="s">
        <v>461</v>
      </c>
      <c r="C101" s="92">
        <v>906</v>
      </c>
      <c r="D101" s="156" t="s">
        <v>198</v>
      </c>
      <c r="E101" s="62" t="s">
        <v>20</v>
      </c>
      <c r="F101" s="9" t="s">
        <v>335</v>
      </c>
      <c r="G101" s="9" t="s">
        <v>21</v>
      </c>
      <c r="H101" s="9"/>
      <c r="I101" s="9"/>
      <c r="J101" s="9"/>
      <c r="K101" s="55" t="s">
        <v>29</v>
      </c>
      <c r="L101" s="9"/>
      <c r="M101" s="9" t="s">
        <v>30</v>
      </c>
      <c r="N101" s="261">
        <v>57604848.280000001</v>
      </c>
      <c r="O101" s="261">
        <v>57519401.649999999</v>
      </c>
      <c r="P101" s="261">
        <v>60249683</v>
      </c>
      <c r="Q101" s="261">
        <v>59977346</v>
      </c>
      <c r="R101" s="261">
        <v>59977346</v>
      </c>
      <c r="S101" s="261">
        <v>59977346</v>
      </c>
    </row>
    <row r="102" spans="1:19" ht="138.75" customHeight="1" x14ac:dyDescent="0.25">
      <c r="A102" s="158"/>
      <c r="B102" s="292"/>
      <c r="C102" s="78"/>
      <c r="D102" s="157"/>
      <c r="E102" s="62"/>
      <c r="F102" s="9"/>
      <c r="G102" s="9"/>
      <c r="H102" s="9"/>
      <c r="I102" s="9"/>
      <c r="J102" s="9"/>
      <c r="K102" s="55" t="s">
        <v>381</v>
      </c>
      <c r="L102" s="9"/>
      <c r="M102" s="9" t="s">
        <v>382</v>
      </c>
      <c r="N102" s="271"/>
      <c r="O102" s="271"/>
      <c r="P102" s="271"/>
      <c r="Q102" s="271"/>
      <c r="R102" s="271"/>
      <c r="S102" s="271"/>
    </row>
    <row r="103" spans="1:19" s="20" customFormat="1" ht="114" x14ac:dyDescent="0.2">
      <c r="A103" s="14">
        <v>2600</v>
      </c>
      <c r="B103" s="159" t="s">
        <v>463</v>
      </c>
      <c r="C103" s="59"/>
      <c r="D103" s="60"/>
      <c r="E103" s="15"/>
      <c r="F103" s="15"/>
      <c r="G103" s="15"/>
      <c r="H103" s="15"/>
      <c r="I103" s="15"/>
      <c r="J103" s="15"/>
      <c r="K103" s="202"/>
      <c r="L103" s="15"/>
      <c r="M103" s="15"/>
      <c r="N103" s="178">
        <f t="shared" ref="N103:S103" si="16">N104+N106</f>
        <v>68894145.270000011</v>
      </c>
      <c r="O103" s="178">
        <f t="shared" si="16"/>
        <v>64991661.079999998</v>
      </c>
      <c r="P103" s="178">
        <f t="shared" si="16"/>
        <v>73500523.620000005</v>
      </c>
      <c r="Q103" s="178">
        <f t="shared" si="16"/>
        <v>73501999.700000003</v>
      </c>
      <c r="R103" s="178">
        <f t="shared" si="16"/>
        <v>74728225.840000004</v>
      </c>
      <c r="S103" s="178">
        <f t="shared" si="16"/>
        <v>27053689</v>
      </c>
    </row>
    <row r="104" spans="1:19" ht="90" x14ac:dyDescent="0.25">
      <c r="A104" s="61" t="s">
        <v>453</v>
      </c>
      <c r="B104" s="79" t="s">
        <v>524</v>
      </c>
      <c r="C104" s="77">
        <v>906</v>
      </c>
      <c r="D104" s="74" t="s">
        <v>198</v>
      </c>
      <c r="E104" s="62" t="s">
        <v>20</v>
      </c>
      <c r="F104" s="9" t="s">
        <v>334</v>
      </c>
      <c r="G104" s="9" t="s">
        <v>21</v>
      </c>
      <c r="H104" s="9" t="s">
        <v>24</v>
      </c>
      <c r="I104" s="9" t="s">
        <v>48</v>
      </c>
      <c r="J104" s="9" t="s">
        <v>26</v>
      </c>
      <c r="K104" s="55" t="s">
        <v>29</v>
      </c>
      <c r="L104" s="9"/>
      <c r="M104" s="9" t="s">
        <v>30</v>
      </c>
      <c r="N104" s="261">
        <v>8587761.3200000003</v>
      </c>
      <c r="O104" s="261">
        <v>8433445.6699999999</v>
      </c>
      <c r="P104" s="261">
        <v>9189913</v>
      </c>
      <c r="Q104" s="261">
        <v>9191389</v>
      </c>
      <c r="R104" s="261">
        <v>9191389</v>
      </c>
      <c r="S104" s="261">
        <v>9191389</v>
      </c>
    </row>
    <row r="105" spans="1:19" ht="285" x14ac:dyDescent="0.25">
      <c r="A105" s="70"/>
      <c r="B105" s="80"/>
      <c r="C105" s="71"/>
      <c r="D105" s="75"/>
      <c r="E105" s="62" t="s">
        <v>22</v>
      </c>
      <c r="F105" s="9" t="s">
        <v>48</v>
      </c>
      <c r="G105" s="9" t="s">
        <v>23</v>
      </c>
      <c r="H105" s="9" t="s">
        <v>27</v>
      </c>
      <c r="I105" s="10" t="s">
        <v>48</v>
      </c>
      <c r="J105" s="9" t="s">
        <v>28</v>
      </c>
      <c r="K105" s="55" t="s">
        <v>168</v>
      </c>
      <c r="L105" s="4"/>
      <c r="M105" s="9" t="s">
        <v>169</v>
      </c>
      <c r="N105" s="271"/>
      <c r="O105" s="271"/>
      <c r="P105" s="271"/>
      <c r="Q105" s="271"/>
      <c r="R105" s="271"/>
      <c r="S105" s="271"/>
    </row>
    <row r="106" spans="1:19" ht="409.5" x14ac:dyDescent="0.25">
      <c r="A106" s="11">
        <v>2624</v>
      </c>
      <c r="B106" s="9" t="s">
        <v>528</v>
      </c>
      <c r="C106" s="11">
        <v>906</v>
      </c>
      <c r="D106" s="18" t="s">
        <v>170</v>
      </c>
      <c r="E106" s="9" t="s">
        <v>61</v>
      </c>
      <c r="F106" s="9" t="s">
        <v>177</v>
      </c>
      <c r="G106" s="9" t="s">
        <v>63</v>
      </c>
      <c r="H106" s="9" t="s">
        <v>429</v>
      </c>
      <c r="I106" s="9" t="s">
        <v>212</v>
      </c>
      <c r="J106" s="9" t="s">
        <v>430</v>
      </c>
      <c r="K106" s="209" t="s">
        <v>431</v>
      </c>
      <c r="L106" s="4"/>
      <c r="M106" s="117" t="s">
        <v>432</v>
      </c>
      <c r="N106" s="175">
        <v>60306383.950000003</v>
      </c>
      <c r="O106" s="175">
        <v>56558215.409999996</v>
      </c>
      <c r="P106" s="175">
        <v>64310610.619999997</v>
      </c>
      <c r="Q106" s="175">
        <v>64310610.700000003</v>
      </c>
      <c r="R106" s="175">
        <v>65536836.840000004</v>
      </c>
      <c r="S106" s="175">
        <v>17862300</v>
      </c>
    </row>
    <row r="107" spans="1:19" s="20" customFormat="1" ht="42.75" x14ac:dyDescent="0.2">
      <c r="A107" s="14">
        <v>3200</v>
      </c>
      <c r="B107" s="15" t="s">
        <v>519</v>
      </c>
      <c r="C107" s="21"/>
      <c r="D107" s="23"/>
      <c r="E107" s="15"/>
      <c r="F107" s="15"/>
      <c r="G107" s="15"/>
      <c r="H107" s="15"/>
      <c r="I107" s="15"/>
      <c r="J107" s="15"/>
      <c r="K107" s="202"/>
      <c r="L107" s="15"/>
      <c r="M107" s="15"/>
      <c r="N107" s="178">
        <f>SUM(N108:N113)</f>
        <v>74364010</v>
      </c>
      <c r="O107" s="178">
        <f>SUM(O108:O113)</f>
        <v>67809315.219999999</v>
      </c>
      <c r="P107" s="178">
        <f>SUM(P108:P113)</f>
        <v>94557600</v>
      </c>
      <c r="Q107" s="178">
        <f>SUM(Q108:Q113)</f>
        <v>93647300</v>
      </c>
      <c r="R107" s="178">
        <f>SUM(R108:R113)</f>
        <v>93647300</v>
      </c>
      <c r="S107" s="178">
        <f>SUM(S108:S113)</f>
        <v>93647300</v>
      </c>
    </row>
    <row r="108" spans="1:19" ht="255" x14ac:dyDescent="0.25">
      <c r="A108" s="11">
        <v>3237</v>
      </c>
      <c r="B108" s="9" t="s">
        <v>176</v>
      </c>
      <c r="C108" s="11">
        <v>906</v>
      </c>
      <c r="D108" s="18" t="s">
        <v>170</v>
      </c>
      <c r="E108" s="9" t="s">
        <v>61</v>
      </c>
      <c r="F108" s="9" t="s">
        <v>177</v>
      </c>
      <c r="G108" s="9" t="s">
        <v>63</v>
      </c>
      <c r="H108" s="9" t="s">
        <v>178</v>
      </c>
      <c r="I108" s="9" t="s">
        <v>179</v>
      </c>
      <c r="J108" s="9" t="s">
        <v>180</v>
      </c>
      <c r="K108" s="55" t="s">
        <v>181</v>
      </c>
      <c r="L108" s="9"/>
      <c r="M108" s="9" t="s">
        <v>182</v>
      </c>
      <c r="N108" s="179">
        <v>37713600</v>
      </c>
      <c r="O108" s="179">
        <v>33365974.949999999</v>
      </c>
      <c r="P108" s="179">
        <v>46855900</v>
      </c>
      <c r="Q108" s="179">
        <v>46351500</v>
      </c>
      <c r="R108" s="179">
        <v>46351500</v>
      </c>
      <c r="S108" s="179">
        <v>46351500</v>
      </c>
    </row>
    <row r="109" spans="1:19" ht="90" x14ac:dyDescent="0.25">
      <c r="A109" s="11"/>
      <c r="B109" s="9"/>
      <c r="C109" s="11"/>
      <c r="D109" s="18"/>
      <c r="E109" s="9"/>
      <c r="F109" s="9"/>
      <c r="G109" s="9"/>
      <c r="H109" s="9"/>
      <c r="I109" s="9"/>
      <c r="J109" s="9"/>
      <c r="K109" s="204" t="s">
        <v>397</v>
      </c>
      <c r="L109" s="4"/>
      <c r="M109" s="8" t="s">
        <v>398</v>
      </c>
      <c r="N109" s="175"/>
      <c r="O109" s="175"/>
      <c r="P109" s="175"/>
      <c r="Q109" s="175"/>
      <c r="R109" s="175"/>
      <c r="S109" s="175"/>
    </row>
    <row r="110" spans="1:19" ht="405" x14ac:dyDescent="0.25">
      <c r="A110" s="11">
        <v>3236</v>
      </c>
      <c r="B110" s="9" t="s">
        <v>183</v>
      </c>
      <c r="C110" s="11">
        <v>906</v>
      </c>
      <c r="D110" s="18" t="s">
        <v>195</v>
      </c>
      <c r="E110" s="9" t="s">
        <v>61</v>
      </c>
      <c r="F110" s="9" t="s">
        <v>184</v>
      </c>
      <c r="G110" s="9" t="s">
        <v>63</v>
      </c>
      <c r="H110" s="9" t="s">
        <v>185</v>
      </c>
      <c r="I110" s="9" t="s">
        <v>179</v>
      </c>
      <c r="J110" s="9" t="s">
        <v>186</v>
      </c>
      <c r="K110" s="55" t="s">
        <v>187</v>
      </c>
      <c r="L110" s="9"/>
      <c r="M110" s="9" t="s">
        <v>188</v>
      </c>
      <c r="N110" s="176">
        <v>2943470</v>
      </c>
      <c r="O110" s="176">
        <v>1954200</v>
      </c>
      <c r="P110" s="176">
        <v>3526000</v>
      </c>
      <c r="Q110" s="176">
        <v>3526000</v>
      </c>
      <c r="R110" s="176">
        <v>3526000</v>
      </c>
      <c r="S110" s="176">
        <v>3526000</v>
      </c>
    </row>
    <row r="111" spans="1:19" ht="270" x14ac:dyDescent="0.25">
      <c r="A111" s="131">
        <v>3237</v>
      </c>
      <c r="B111" s="130" t="s">
        <v>189</v>
      </c>
      <c r="C111" s="131">
        <v>906</v>
      </c>
      <c r="D111" s="132" t="s">
        <v>122</v>
      </c>
      <c r="E111" s="130" t="s">
        <v>61</v>
      </c>
      <c r="F111" s="130" t="s">
        <v>190</v>
      </c>
      <c r="G111" s="130" t="s">
        <v>63</v>
      </c>
      <c r="H111" s="130" t="s">
        <v>191</v>
      </c>
      <c r="I111" s="130" t="s">
        <v>48</v>
      </c>
      <c r="J111" s="130" t="s">
        <v>192</v>
      </c>
      <c r="K111" s="55" t="s">
        <v>193</v>
      </c>
      <c r="L111" s="9"/>
      <c r="M111" s="9" t="s">
        <v>194</v>
      </c>
      <c r="N111" s="175">
        <v>5845000</v>
      </c>
      <c r="O111" s="175">
        <v>4847444.51</v>
      </c>
      <c r="P111" s="175">
        <v>12270100</v>
      </c>
      <c r="Q111" s="175">
        <v>12270100</v>
      </c>
      <c r="R111" s="175">
        <v>12270100</v>
      </c>
      <c r="S111" s="175">
        <v>12270100</v>
      </c>
    </row>
    <row r="112" spans="1:19" ht="210" x14ac:dyDescent="0.25">
      <c r="A112" s="11">
        <v>3237</v>
      </c>
      <c r="B112" s="9" t="s">
        <v>378</v>
      </c>
      <c r="C112" s="11">
        <v>906</v>
      </c>
      <c r="D112" s="18" t="s">
        <v>287</v>
      </c>
      <c r="E112" s="9" t="s">
        <v>61</v>
      </c>
      <c r="F112" s="9" t="s">
        <v>199</v>
      </c>
      <c r="G112" s="9" t="s">
        <v>63</v>
      </c>
      <c r="H112" s="11"/>
      <c r="I112" s="11"/>
      <c r="J112" s="11"/>
      <c r="K112" s="55" t="s">
        <v>402</v>
      </c>
      <c r="L112" s="9"/>
      <c r="M112" s="9" t="s">
        <v>403</v>
      </c>
      <c r="N112" s="179">
        <v>17250300</v>
      </c>
      <c r="O112" s="179">
        <v>17036817.27</v>
      </c>
      <c r="P112" s="179">
        <v>20847700</v>
      </c>
      <c r="Q112" s="179">
        <v>20441800</v>
      </c>
      <c r="R112" s="179">
        <v>20441800</v>
      </c>
      <c r="S112" s="179">
        <v>20441800</v>
      </c>
    </row>
    <row r="113" spans="1:19" ht="210" x14ac:dyDescent="0.25">
      <c r="A113" s="11">
        <v>3237</v>
      </c>
      <c r="B113" s="9" t="s">
        <v>361</v>
      </c>
      <c r="C113" s="11">
        <v>906</v>
      </c>
      <c r="D113" s="18" t="s">
        <v>198</v>
      </c>
      <c r="E113" s="9" t="s">
        <v>61</v>
      </c>
      <c r="F113" s="9" t="s">
        <v>199</v>
      </c>
      <c r="G113" s="9" t="s">
        <v>63</v>
      </c>
      <c r="H113" s="9" t="s">
        <v>200</v>
      </c>
      <c r="I113" s="9" t="s">
        <v>48</v>
      </c>
      <c r="J113" s="9" t="s">
        <v>28</v>
      </c>
      <c r="K113" s="55" t="s">
        <v>201</v>
      </c>
      <c r="L113" s="9"/>
      <c r="M113" s="9" t="s">
        <v>202</v>
      </c>
      <c r="N113" s="179">
        <v>10611640</v>
      </c>
      <c r="O113" s="179">
        <v>10604878.49</v>
      </c>
      <c r="P113" s="179">
        <v>11057900</v>
      </c>
      <c r="Q113" s="179">
        <v>11057900</v>
      </c>
      <c r="R113" s="179">
        <v>11057900</v>
      </c>
      <c r="S113" s="179">
        <v>11057900</v>
      </c>
    </row>
    <row r="114" spans="1:19" s="20" customFormat="1" ht="77.25" customHeight="1" x14ac:dyDescent="0.2">
      <c r="A114" s="66">
        <v>3400</v>
      </c>
      <c r="B114" s="25" t="s">
        <v>529</v>
      </c>
      <c r="C114" s="66"/>
      <c r="D114" s="60"/>
      <c r="E114" s="15"/>
      <c r="F114" s="15"/>
      <c r="G114" s="15"/>
      <c r="H114" s="25"/>
      <c r="I114" s="25"/>
      <c r="J114" s="25"/>
      <c r="K114" s="202"/>
      <c r="L114" s="15"/>
      <c r="M114" s="15"/>
      <c r="N114" s="186">
        <f t="shared" ref="N114:S114" si="17">N115+N117+N119</f>
        <v>1086049727.76</v>
      </c>
      <c r="O114" s="186">
        <f t="shared" si="17"/>
        <v>1081307731.76</v>
      </c>
      <c r="P114" s="186">
        <f t="shared" si="17"/>
        <v>1142510400</v>
      </c>
      <c r="Q114" s="186">
        <f t="shared" si="17"/>
        <v>1142510400</v>
      </c>
      <c r="R114" s="186">
        <f t="shared" si="17"/>
        <v>1142510400</v>
      </c>
      <c r="S114" s="186">
        <f t="shared" si="17"/>
        <v>1135044500</v>
      </c>
    </row>
    <row r="115" spans="1:19" ht="255" x14ac:dyDescent="0.25">
      <c r="A115" s="263">
        <v>3401</v>
      </c>
      <c r="B115" s="278" t="s">
        <v>459</v>
      </c>
      <c r="C115" s="263">
        <v>906</v>
      </c>
      <c r="D115" s="272" t="s">
        <v>170</v>
      </c>
      <c r="E115" s="9" t="s">
        <v>61</v>
      </c>
      <c r="F115" s="9" t="s">
        <v>171</v>
      </c>
      <c r="G115" s="9" t="s">
        <v>63</v>
      </c>
      <c r="H115" s="278"/>
      <c r="I115" s="278"/>
      <c r="J115" s="278"/>
      <c r="K115" s="55" t="s">
        <v>175</v>
      </c>
      <c r="L115" s="9"/>
      <c r="M115" s="9" t="s">
        <v>86</v>
      </c>
      <c r="N115" s="261">
        <f>101456791+472413899</f>
        <v>573870690</v>
      </c>
      <c r="O115" s="261">
        <f>97131391+472413899</f>
        <v>569545290</v>
      </c>
      <c r="P115" s="261">
        <f>121229300+475603100</f>
        <v>596832400</v>
      </c>
      <c r="Q115" s="261">
        <f>121229300+475603100</f>
        <v>596832400</v>
      </c>
      <c r="R115" s="261">
        <f>121229300+475603100</f>
        <v>596832400</v>
      </c>
      <c r="S115" s="261">
        <v>589366496</v>
      </c>
    </row>
    <row r="116" spans="1:19" ht="60" x14ac:dyDescent="0.25">
      <c r="A116" s="264"/>
      <c r="B116" s="282"/>
      <c r="C116" s="264"/>
      <c r="D116" s="274"/>
      <c r="E116" s="8" t="s">
        <v>172</v>
      </c>
      <c r="F116" s="9" t="s">
        <v>173</v>
      </c>
      <c r="G116" s="9" t="s">
        <v>174</v>
      </c>
      <c r="H116" s="282"/>
      <c r="I116" s="282"/>
      <c r="J116" s="282"/>
      <c r="K116" s="204"/>
      <c r="L116" s="4"/>
      <c r="M116" s="8"/>
      <c r="N116" s="271"/>
      <c r="O116" s="271"/>
      <c r="P116" s="271"/>
      <c r="Q116" s="271"/>
      <c r="R116" s="271"/>
      <c r="S116" s="271"/>
    </row>
    <row r="117" spans="1:19" ht="225" x14ac:dyDescent="0.25">
      <c r="A117" s="263">
        <v>3403</v>
      </c>
      <c r="B117" s="278" t="s">
        <v>458</v>
      </c>
      <c r="C117" s="263">
        <v>906</v>
      </c>
      <c r="D117" s="272" t="s">
        <v>195</v>
      </c>
      <c r="E117" s="9" t="s">
        <v>61</v>
      </c>
      <c r="F117" s="9" t="s">
        <v>190</v>
      </c>
      <c r="G117" s="9" t="s">
        <v>63</v>
      </c>
      <c r="H117" s="263"/>
      <c r="I117" s="263"/>
      <c r="J117" s="263"/>
      <c r="K117" s="55" t="s">
        <v>196</v>
      </c>
      <c r="L117" s="9"/>
      <c r="M117" s="9" t="s">
        <v>197</v>
      </c>
      <c r="N117" s="261">
        <f>145437220+338465710.61</f>
        <v>483902930.61000001</v>
      </c>
      <c r="O117" s="261">
        <f>145437184+338465710.61</f>
        <v>483902894.61000001</v>
      </c>
      <c r="P117" s="261">
        <f>177104900+341227900</f>
        <v>518332800</v>
      </c>
      <c r="Q117" s="261">
        <f>341227900+177104900</f>
        <v>518332800</v>
      </c>
      <c r="R117" s="261">
        <f>177104900+341227900</f>
        <v>518332800</v>
      </c>
      <c r="S117" s="261">
        <v>518332800</v>
      </c>
    </row>
    <row r="118" spans="1:19" ht="60" x14ac:dyDescent="0.25">
      <c r="A118" s="264"/>
      <c r="B118" s="282"/>
      <c r="C118" s="264"/>
      <c r="D118" s="274"/>
      <c r="E118" s="9" t="s">
        <v>172</v>
      </c>
      <c r="F118" s="9" t="s">
        <v>173</v>
      </c>
      <c r="G118" s="9" t="s">
        <v>174</v>
      </c>
      <c r="H118" s="264"/>
      <c r="I118" s="264"/>
      <c r="J118" s="264"/>
      <c r="K118" s="55"/>
      <c r="L118" s="9"/>
      <c r="M118" s="9"/>
      <c r="N118" s="271"/>
      <c r="O118" s="271"/>
      <c r="P118" s="271"/>
      <c r="Q118" s="271"/>
      <c r="R118" s="271"/>
      <c r="S118" s="271"/>
    </row>
    <row r="119" spans="1:19" ht="300" x14ac:dyDescent="0.25">
      <c r="A119" s="11">
        <v>3404</v>
      </c>
      <c r="B119" s="155" t="s">
        <v>460</v>
      </c>
      <c r="C119" s="11">
        <v>906</v>
      </c>
      <c r="D119" s="18" t="s">
        <v>285</v>
      </c>
      <c r="E119" s="9" t="s">
        <v>61</v>
      </c>
      <c r="F119" s="9" t="s">
        <v>171</v>
      </c>
      <c r="G119" s="9" t="s">
        <v>63</v>
      </c>
      <c r="H119" s="9"/>
      <c r="I119" s="9"/>
      <c r="J119" s="9"/>
      <c r="K119" s="55" t="s">
        <v>175</v>
      </c>
      <c r="L119" s="9"/>
      <c r="M119" s="9" t="s">
        <v>86</v>
      </c>
      <c r="N119" s="179">
        <v>28276107.149999999</v>
      </c>
      <c r="O119" s="179">
        <v>27859547.149999999</v>
      </c>
      <c r="P119" s="179">
        <v>27345200</v>
      </c>
      <c r="Q119" s="179">
        <v>27345200</v>
      </c>
      <c r="R119" s="179">
        <v>27345200</v>
      </c>
      <c r="S119" s="179">
        <v>27345204</v>
      </c>
    </row>
    <row r="120" spans="1:19" s="20" customFormat="1" ht="42.75" x14ac:dyDescent="0.2">
      <c r="A120" s="30"/>
      <c r="B120" s="29" t="s">
        <v>554</v>
      </c>
      <c r="C120" s="30">
        <v>909</v>
      </c>
      <c r="D120" s="31"/>
      <c r="E120" s="29"/>
      <c r="F120" s="29"/>
      <c r="G120" s="29"/>
      <c r="H120" s="29"/>
      <c r="I120" s="29"/>
      <c r="J120" s="29"/>
      <c r="K120" s="203"/>
      <c r="L120" s="29"/>
      <c r="M120" s="29"/>
      <c r="N120" s="184">
        <f>N121+N148+N153</f>
        <v>791718184.90999997</v>
      </c>
      <c r="O120" s="184">
        <f>O121+O148+O153</f>
        <v>771071998.99000001</v>
      </c>
      <c r="P120" s="184">
        <f>P121+P148+P153</f>
        <v>491206580.59000003</v>
      </c>
      <c r="Q120" s="184">
        <f>Q121+Q148+Q153</f>
        <v>317118689.81999999</v>
      </c>
      <c r="R120" s="184">
        <f>R121+R148+R153</f>
        <v>281554007.71000004</v>
      </c>
      <c r="S120" s="184">
        <f>S121+S148+S153</f>
        <v>281553989</v>
      </c>
    </row>
    <row r="121" spans="1:19" s="20" customFormat="1" ht="57" x14ac:dyDescent="0.2">
      <c r="A121" s="82">
        <v>2500</v>
      </c>
      <c r="B121" s="90" t="s">
        <v>462</v>
      </c>
      <c r="C121" s="15"/>
      <c r="D121" s="23"/>
      <c r="E121" s="15"/>
      <c r="F121" s="15"/>
      <c r="G121" s="15"/>
      <c r="H121" s="15"/>
      <c r="I121" s="15"/>
      <c r="J121" s="15"/>
      <c r="K121" s="202"/>
      <c r="L121" s="15"/>
      <c r="M121" s="15"/>
      <c r="N121" s="178">
        <f>N122+N125+N130+N132+N134+N136+N138+N141+N144</f>
        <v>736610798.77999997</v>
      </c>
      <c r="O121" s="178">
        <f>O122+O125+O130+O132+O134+O136+O138+O141+O144</f>
        <v>724537467.03999996</v>
      </c>
      <c r="P121" s="178">
        <f>P122+P125+P130+P132+P134+P136+P138+P141+P144</f>
        <v>417375268.59000003</v>
      </c>
      <c r="Q121" s="178">
        <f>Q122+Q125+Q130+Q132+Q134+Q136+Q138+Q141+Q144</f>
        <v>244057529.81999999</v>
      </c>
      <c r="R121" s="178">
        <f>R122+R125+R130+R132+R134+R136+R138+R141+R144</f>
        <v>208492847.71000001</v>
      </c>
      <c r="S121" s="178">
        <f>S122+S125+S130+S132+S134+S136+S138+S141+S144</f>
        <v>208492829</v>
      </c>
    </row>
    <row r="122" spans="1:19" ht="90" x14ac:dyDescent="0.25">
      <c r="A122" s="263">
        <v>2505</v>
      </c>
      <c r="B122" s="278" t="s">
        <v>206</v>
      </c>
      <c r="C122" s="263">
        <v>909</v>
      </c>
      <c r="D122" s="272" t="s">
        <v>399</v>
      </c>
      <c r="E122" s="134" t="s">
        <v>20</v>
      </c>
      <c r="F122" s="134" t="s">
        <v>208</v>
      </c>
      <c r="G122" s="134" t="s">
        <v>90</v>
      </c>
      <c r="H122" s="327" t="s">
        <v>211</v>
      </c>
      <c r="I122" s="134" t="s">
        <v>212</v>
      </c>
      <c r="J122" s="134" t="s">
        <v>213</v>
      </c>
      <c r="K122" s="55" t="s">
        <v>29</v>
      </c>
      <c r="L122" s="9" t="s">
        <v>214</v>
      </c>
      <c r="M122" s="9" t="s">
        <v>37</v>
      </c>
      <c r="N122" s="261">
        <f>251581.25+5959505+483711.6+135901.2+32721.91</f>
        <v>6863420.96</v>
      </c>
      <c r="O122" s="261">
        <f>32721.91+251581.25+483711.6+135901.2</f>
        <v>903915.96</v>
      </c>
      <c r="P122" s="261">
        <f>310000+400000+900000</f>
        <v>1610000</v>
      </c>
      <c r="Q122" s="261">
        <v>0</v>
      </c>
      <c r="R122" s="261">
        <v>0</v>
      </c>
      <c r="S122" s="261">
        <v>0</v>
      </c>
    </row>
    <row r="123" spans="1:19" ht="75" x14ac:dyDescent="0.25">
      <c r="A123" s="289"/>
      <c r="B123" s="285"/>
      <c r="C123" s="289"/>
      <c r="D123" s="290"/>
      <c r="E123" s="145"/>
      <c r="F123" s="145"/>
      <c r="G123" s="145"/>
      <c r="H123" s="328"/>
      <c r="I123" s="145"/>
      <c r="J123" s="145"/>
      <c r="K123" s="55" t="s">
        <v>436</v>
      </c>
      <c r="L123" s="9"/>
      <c r="M123" s="9" t="s">
        <v>435</v>
      </c>
      <c r="N123" s="262"/>
      <c r="O123" s="262"/>
      <c r="P123" s="262"/>
      <c r="Q123" s="262"/>
      <c r="R123" s="262"/>
      <c r="S123" s="262"/>
    </row>
    <row r="124" spans="1:19" ht="90" x14ac:dyDescent="0.25">
      <c r="A124" s="289"/>
      <c r="B124" s="285"/>
      <c r="C124" s="289"/>
      <c r="D124" s="273"/>
      <c r="E124" s="135" t="s">
        <v>209</v>
      </c>
      <c r="F124" s="135" t="s">
        <v>210</v>
      </c>
      <c r="G124" s="135" t="s">
        <v>186</v>
      </c>
      <c r="H124" s="135"/>
      <c r="I124" s="135"/>
      <c r="J124" s="135"/>
      <c r="K124" s="55"/>
      <c r="L124" s="9"/>
      <c r="M124" s="9"/>
      <c r="N124" s="262"/>
      <c r="O124" s="262"/>
      <c r="P124" s="271"/>
      <c r="Q124" s="271"/>
      <c r="R124" s="262"/>
      <c r="S124" s="262"/>
    </row>
    <row r="125" spans="1:19" ht="135" x14ac:dyDescent="0.25">
      <c r="A125" s="263">
        <v>2507</v>
      </c>
      <c r="B125" s="278" t="s">
        <v>530</v>
      </c>
      <c r="C125" s="263">
        <v>909</v>
      </c>
      <c r="D125" s="272" t="s">
        <v>216</v>
      </c>
      <c r="E125" s="9" t="s">
        <v>217</v>
      </c>
      <c r="F125" s="9" t="s">
        <v>218</v>
      </c>
      <c r="G125" s="9" t="s">
        <v>219</v>
      </c>
      <c r="H125" s="9" t="s">
        <v>220</v>
      </c>
      <c r="I125" s="9" t="s">
        <v>48</v>
      </c>
      <c r="J125" s="9" t="s">
        <v>221</v>
      </c>
      <c r="K125" s="55" t="s">
        <v>29</v>
      </c>
      <c r="L125" s="9" t="s">
        <v>226</v>
      </c>
      <c r="M125" s="9" t="s">
        <v>30</v>
      </c>
      <c r="N125" s="261">
        <f>380863634.58+150000+50000</f>
        <v>381063634.57999998</v>
      </c>
      <c r="O125" s="261">
        <f>378862129.32+150000+50000</f>
        <v>379062129.31999999</v>
      </c>
      <c r="P125" s="261">
        <v>178072477.25999999</v>
      </c>
      <c r="Q125" s="261">
        <v>72423529</v>
      </c>
      <c r="R125" s="261">
        <v>73223529</v>
      </c>
      <c r="S125" s="261">
        <v>73223529</v>
      </c>
    </row>
    <row r="126" spans="1:19" ht="60" x14ac:dyDescent="0.25">
      <c r="A126" s="289"/>
      <c r="B126" s="285"/>
      <c r="C126" s="289"/>
      <c r="D126" s="273"/>
      <c r="E126" s="9"/>
      <c r="F126" s="9"/>
      <c r="G126" s="9"/>
      <c r="H126" s="9"/>
      <c r="I126" s="9"/>
      <c r="J126" s="9"/>
      <c r="K126" s="55" t="s">
        <v>224</v>
      </c>
      <c r="L126" s="9"/>
      <c r="M126" s="9" t="s">
        <v>225</v>
      </c>
      <c r="N126" s="262"/>
      <c r="O126" s="262"/>
      <c r="P126" s="262"/>
      <c r="Q126" s="262"/>
      <c r="R126" s="262"/>
      <c r="S126" s="262"/>
    </row>
    <row r="127" spans="1:19" ht="105" x14ac:dyDescent="0.25">
      <c r="A127" s="289"/>
      <c r="B127" s="285"/>
      <c r="C127" s="289"/>
      <c r="D127" s="273"/>
      <c r="E127" s="9"/>
      <c r="F127" s="9"/>
      <c r="G127" s="9"/>
      <c r="H127" s="9"/>
      <c r="I127" s="9"/>
      <c r="J127" s="9"/>
      <c r="K127" s="55" t="s">
        <v>222</v>
      </c>
      <c r="L127" s="9"/>
      <c r="M127" s="9" t="s">
        <v>223</v>
      </c>
      <c r="N127" s="262"/>
      <c r="O127" s="262"/>
      <c r="P127" s="262"/>
      <c r="Q127" s="262"/>
      <c r="R127" s="262"/>
      <c r="S127" s="262"/>
    </row>
    <row r="128" spans="1:19" ht="150" x14ac:dyDescent="0.25">
      <c r="A128" s="264"/>
      <c r="B128" s="282"/>
      <c r="C128" s="264"/>
      <c r="D128" s="274"/>
      <c r="E128" s="9"/>
      <c r="F128" s="9"/>
      <c r="G128" s="9"/>
      <c r="H128" s="9"/>
      <c r="I128" s="9"/>
      <c r="J128" s="9"/>
      <c r="K128" s="55" t="s">
        <v>583</v>
      </c>
      <c r="L128" s="55"/>
      <c r="M128" s="55" t="s">
        <v>584</v>
      </c>
      <c r="N128" s="271"/>
      <c r="O128" s="271"/>
      <c r="P128" s="271"/>
      <c r="Q128" s="271"/>
      <c r="R128" s="271"/>
      <c r="S128" s="271"/>
    </row>
    <row r="129" spans="1:20" ht="75" x14ac:dyDescent="0.25">
      <c r="A129" s="194"/>
      <c r="B129" s="196"/>
      <c r="C129" s="194"/>
      <c r="D129" s="195"/>
      <c r="E129" s="9"/>
      <c r="F129" s="9"/>
      <c r="G129" s="9"/>
      <c r="H129" s="9"/>
      <c r="I129" s="9"/>
      <c r="J129" s="9"/>
      <c r="K129" s="55" t="s">
        <v>585</v>
      </c>
      <c r="L129" s="9"/>
      <c r="M129" s="9" t="s">
        <v>512</v>
      </c>
      <c r="N129" s="193"/>
      <c r="O129" s="193"/>
      <c r="P129" s="193"/>
      <c r="Q129" s="193"/>
      <c r="R129" s="193"/>
      <c r="S129" s="193"/>
    </row>
    <row r="130" spans="1:20" ht="240" x14ac:dyDescent="0.25">
      <c r="A130" s="263">
        <v>2508</v>
      </c>
      <c r="B130" s="278" t="s">
        <v>38</v>
      </c>
      <c r="C130" s="263">
        <v>909</v>
      </c>
      <c r="D130" s="272" t="s">
        <v>111</v>
      </c>
      <c r="E130" s="9" t="s">
        <v>20</v>
      </c>
      <c r="F130" s="9" t="s">
        <v>227</v>
      </c>
      <c r="G130" s="9" t="s">
        <v>90</v>
      </c>
      <c r="H130" s="9"/>
      <c r="I130" s="9"/>
      <c r="J130" s="9"/>
      <c r="K130" s="55" t="s">
        <v>451</v>
      </c>
      <c r="L130" s="9"/>
      <c r="M130" s="9" t="s">
        <v>452</v>
      </c>
      <c r="N130" s="283">
        <f>53616676-2700805.96-1530000</f>
        <v>49385870.039999999</v>
      </c>
      <c r="O130" s="283">
        <f>49653240.74-2700805.96-430000</f>
        <v>46522434.780000001</v>
      </c>
      <c r="P130" s="261">
        <f>4335480+1000000</f>
        <v>5335480</v>
      </c>
      <c r="Q130" s="261">
        <f>1365480+500000</f>
        <v>1865480</v>
      </c>
      <c r="R130" s="261">
        <f>2565480+500000</f>
        <v>3065480</v>
      </c>
      <c r="S130" s="261">
        <v>2065480</v>
      </c>
    </row>
    <row r="131" spans="1:20" ht="45" x14ac:dyDescent="0.25">
      <c r="A131" s="264"/>
      <c r="B131" s="282"/>
      <c r="C131" s="264"/>
      <c r="D131" s="274"/>
      <c r="E131" s="9"/>
      <c r="F131" s="9"/>
      <c r="G131" s="9"/>
      <c r="H131" s="9"/>
      <c r="I131" s="9"/>
      <c r="J131" s="9"/>
      <c r="K131" s="55" t="s">
        <v>29</v>
      </c>
      <c r="L131" s="9" t="s">
        <v>113</v>
      </c>
      <c r="M131" s="9" t="s">
        <v>30</v>
      </c>
      <c r="N131" s="284"/>
      <c r="O131" s="284"/>
      <c r="P131" s="271"/>
      <c r="Q131" s="271"/>
      <c r="R131" s="271"/>
      <c r="S131" s="271"/>
    </row>
    <row r="132" spans="1:20" ht="225" x14ac:dyDescent="0.25">
      <c r="A132" s="263">
        <v>2511</v>
      </c>
      <c r="B132" s="278" t="s">
        <v>228</v>
      </c>
      <c r="C132" s="263">
        <v>909</v>
      </c>
      <c r="D132" s="272" t="s">
        <v>229</v>
      </c>
      <c r="E132" s="9" t="s">
        <v>20</v>
      </c>
      <c r="F132" s="9" t="s">
        <v>230</v>
      </c>
      <c r="G132" s="9" t="s">
        <v>90</v>
      </c>
      <c r="H132" s="9" t="s">
        <v>231</v>
      </c>
      <c r="I132" s="9" t="s">
        <v>48</v>
      </c>
      <c r="J132" s="9" t="s">
        <v>232</v>
      </c>
      <c r="K132" s="55" t="s">
        <v>236</v>
      </c>
      <c r="L132" s="9"/>
      <c r="M132" s="9" t="s">
        <v>237</v>
      </c>
      <c r="N132" s="261">
        <v>62921020</v>
      </c>
      <c r="O132" s="261">
        <v>62921000</v>
      </c>
      <c r="P132" s="261">
        <v>67353020</v>
      </c>
      <c r="Q132" s="261">
        <v>67353020</v>
      </c>
      <c r="R132" s="261">
        <v>67353020</v>
      </c>
      <c r="S132" s="261">
        <v>67353020</v>
      </c>
    </row>
    <row r="133" spans="1:20" ht="75" x14ac:dyDescent="0.25">
      <c r="A133" s="264"/>
      <c r="B133" s="282"/>
      <c r="C133" s="264"/>
      <c r="D133" s="274"/>
      <c r="E133" s="9"/>
      <c r="F133" s="9"/>
      <c r="G133" s="9"/>
      <c r="H133" s="9" t="s">
        <v>233</v>
      </c>
      <c r="I133" s="9" t="s">
        <v>234</v>
      </c>
      <c r="J133" s="9" t="s">
        <v>235</v>
      </c>
      <c r="K133" s="55" t="s">
        <v>29</v>
      </c>
      <c r="L133" s="9" t="s">
        <v>469</v>
      </c>
      <c r="M133" s="9" t="s">
        <v>30</v>
      </c>
      <c r="N133" s="271"/>
      <c r="O133" s="271"/>
      <c r="P133" s="271"/>
      <c r="Q133" s="271"/>
      <c r="R133" s="271"/>
      <c r="S133" s="271"/>
    </row>
    <row r="134" spans="1:20" ht="45" x14ac:dyDescent="0.25">
      <c r="A134" s="263">
        <v>2529</v>
      </c>
      <c r="B134" s="278" t="s">
        <v>238</v>
      </c>
      <c r="C134" s="263">
        <v>909</v>
      </c>
      <c r="D134" s="272" t="s">
        <v>207</v>
      </c>
      <c r="E134" s="278" t="s">
        <v>20</v>
      </c>
      <c r="F134" s="263" t="s">
        <v>239</v>
      </c>
      <c r="G134" s="280" t="s">
        <v>90</v>
      </c>
      <c r="H134" s="263"/>
      <c r="I134" s="263"/>
      <c r="J134" s="263"/>
      <c r="K134" s="55" t="s">
        <v>29</v>
      </c>
      <c r="L134" s="9" t="s">
        <v>165</v>
      </c>
      <c r="M134" s="9" t="s">
        <v>30</v>
      </c>
      <c r="N134" s="261">
        <v>8902000</v>
      </c>
      <c r="O134" s="261">
        <v>8902000</v>
      </c>
      <c r="P134" s="261">
        <v>9383000</v>
      </c>
      <c r="Q134" s="261">
        <v>9383000</v>
      </c>
      <c r="R134" s="261">
        <v>9383000</v>
      </c>
      <c r="S134" s="261">
        <v>9383000</v>
      </c>
    </row>
    <row r="135" spans="1:20" ht="225" x14ac:dyDescent="0.25">
      <c r="A135" s="289"/>
      <c r="B135" s="285"/>
      <c r="C135" s="289"/>
      <c r="D135" s="273"/>
      <c r="E135" s="285"/>
      <c r="F135" s="289"/>
      <c r="G135" s="281"/>
      <c r="H135" s="289"/>
      <c r="I135" s="289"/>
      <c r="J135" s="289"/>
      <c r="K135" s="55" t="s">
        <v>240</v>
      </c>
      <c r="L135" s="55"/>
      <c r="M135" s="55" t="s">
        <v>237</v>
      </c>
      <c r="N135" s="262"/>
      <c r="O135" s="262"/>
      <c r="P135" s="262"/>
      <c r="Q135" s="262"/>
      <c r="R135" s="262"/>
      <c r="S135" s="262"/>
    </row>
    <row r="136" spans="1:20" ht="45" x14ac:dyDescent="0.25">
      <c r="A136" s="263">
        <v>2536</v>
      </c>
      <c r="B136" s="278" t="s">
        <v>241</v>
      </c>
      <c r="C136" s="263">
        <v>909</v>
      </c>
      <c r="D136" s="272" t="s">
        <v>250</v>
      </c>
      <c r="E136" s="278" t="s">
        <v>20</v>
      </c>
      <c r="F136" s="278" t="s">
        <v>242</v>
      </c>
      <c r="G136" s="286" t="s">
        <v>90</v>
      </c>
      <c r="H136" s="278" t="s">
        <v>243</v>
      </c>
      <c r="I136" s="278" t="s">
        <v>245</v>
      </c>
      <c r="J136" s="278" t="s">
        <v>244</v>
      </c>
      <c r="K136" s="55" t="s">
        <v>29</v>
      </c>
      <c r="L136" s="9" t="s">
        <v>248</v>
      </c>
      <c r="M136" s="9" t="s">
        <v>30</v>
      </c>
      <c r="N136" s="261">
        <v>58599</v>
      </c>
      <c r="O136" s="261">
        <v>58599</v>
      </c>
      <c r="P136" s="261">
        <v>36000</v>
      </c>
      <c r="Q136" s="261">
        <v>36000</v>
      </c>
      <c r="R136" s="261">
        <v>36000</v>
      </c>
      <c r="S136" s="261">
        <v>36000</v>
      </c>
    </row>
    <row r="137" spans="1:20" ht="120" x14ac:dyDescent="0.25">
      <c r="A137" s="289"/>
      <c r="B137" s="285"/>
      <c r="C137" s="289"/>
      <c r="D137" s="273"/>
      <c r="E137" s="285"/>
      <c r="F137" s="285"/>
      <c r="G137" s="287"/>
      <c r="H137" s="285"/>
      <c r="I137" s="285"/>
      <c r="J137" s="285"/>
      <c r="K137" s="55" t="s">
        <v>246</v>
      </c>
      <c r="L137" s="9"/>
      <c r="M137" s="9" t="s">
        <v>247</v>
      </c>
      <c r="N137" s="262"/>
      <c r="O137" s="262"/>
      <c r="P137" s="262"/>
      <c r="Q137" s="262"/>
      <c r="R137" s="262"/>
      <c r="S137" s="262"/>
    </row>
    <row r="138" spans="1:20" ht="90" x14ac:dyDescent="0.25">
      <c r="A138" s="263">
        <v>2538</v>
      </c>
      <c r="B138" s="278" t="s">
        <v>249</v>
      </c>
      <c r="C138" s="263">
        <v>909</v>
      </c>
      <c r="D138" s="272" t="s">
        <v>250</v>
      </c>
      <c r="E138" s="9" t="s">
        <v>20</v>
      </c>
      <c r="F138" s="9" t="s">
        <v>251</v>
      </c>
      <c r="G138" s="16" t="s">
        <v>90</v>
      </c>
      <c r="H138" s="9" t="s">
        <v>255</v>
      </c>
      <c r="I138" s="9" t="s">
        <v>48</v>
      </c>
      <c r="J138" s="9" t="s">
        <v>256</v>
      </c>
      <c r="K138" s="55" t="s">
        <v>29</v>
      </c>
      <c r="L138" s="9" t="s">
        <v>259</v>
      </c>
      <c r="M138" s="9" t="s">
        <v>30</v>
      </c>
      <c r="N138" s="311">
        <f>2499216.33+638090</f>
        <v>3137306.33</v>
      </c>
      <c r="O138" s="311">
        <f>2499216.33+638090</f>
        <v>3137306.33</v>
      </c>
      <c r="P138" s="261">
        <f>2500000+64000</f>
        <v>2564000</v>
      </c>
      <c r="Q138" s="261">
        <f>2500000+365800</f>
        <v>2865800</v>
      </c>
      <c r="R138" s="261">
        <v>2564000</v>
      </c>
      <c r="S138" s="337">
        <v>2564000</v>
      </c>
      <c r="T138" s="192"/>
    </row>
    <row r="139" spans="1:20" ht="120" x14ac:dyDescent="0.25">
      <c r="A139" s="289"/>
      <c r="B139" s="285"/>
      <c r="C139" s="289"/>
      <c r="D139" s="273"/>
      <c r="E139" s="9"/>
      <c r="F139" s="9"/>
      <c r="G139" s="16"/>
      <c r="H139" s="9"/>
      <c r="I139" s="9"/>
      <c r="J139" s="9"/>
      <c r="K139" s="55" t="s">
        <v>257</v>
      </c>
      <c r="L139" s="9"/>
      <c r="M139" s="9" t="s">
        <v>258</v>
      </c>
      <c r="N139" s="312"/>
      <c r="O139" s="312"/>
      <c r="P139" s="262"/>
      <c r="Q139" s="262"/>
      <c r="R139" s="262"/>
      <c r="S139" s="338"/>
      <c r="T139" s="192"/>
    </row>
    <row r="140" spans="1:20" ht="90" x14ac:dyDescent="0.25">
      <c r="A140" s="264"/>
      <c r="B140" s="282"/>
      <c r="C140" s="264"/>
      <c r="D140" s="274"/>
      <c r="E140" s="9" t="s">
        <v>252</v>
      </c>
      <c r="F140" s="9" t="s">
        <v>253</v>
      </c>
      <c r="G140" s="9" t="s">
        <v>254</v>
      </c>
      <c r="H140" s="9"/>
      <c r="I140" s="9"/>
      <c r="J140" s="9"/>
      <c r="K140" s="55" t="s">
        <v>586</v>
      </c>
      <c r="L140" s="55"/>
      <c r="M140" s="254" t="s">
        <v>513</v>
      </c>
      <c r="N140" s="313"/>
      <c r="O140" s="313"/>
      <c r="P140" s="271"/>
      <c r="Q140" s="271"/>
      <c r="R140" s="271"/>
      <c r="S140" s="339"/>
      <c r="T140" s="192"/>
    </row>
    <row r="141" spans="1:20" ht="90" x14ac:dyDescent="0.25">
      <c r="A141" s="263">
        <v>2539</v>
      </c>
      <c r="B141" s="278" t="s">
        <v>531</v>
      </c>
      <c r="C141" s="263">
        <v>909</v>
      </c>
      <c r="D141" s="272" t="s">
        <v>406</v>
      </c>
      <c r="E141" s="9" t="s">
        <v>20</v>
      </c>
      <c r="F141" s="9" t="s">
        <v>260</v>
      </c>
      <c r="G141" s="16" t="s">
        <v>90</v>
      </c>
      <c r="H141" s="9" t="s">
        <v>267</v>
      </c>
      <c r="I141" s="9" t="s">
        <v>48</v>
      </c>
      <c r="J141" s="9" t="s">
        <v>268</v>
      </c>
      <c r="K141" s="55" t="s">
        <v>29</v>
      </c>
      <c r="L141" s="9" t="s">
        <v>269</v>
      </c>
      <c r="M141" s="9" t="s">
        <v>30</v>
      </c>
      <c r="N141" s="261">
        <v>4797979.8</v>
      </c>
      <c r="O141" s="261">
        <v>4707068.22</v>
      </c>
      <c r="P141" s="261"/>
      <c r="Q141" s="261"/>
      <c r="R141" s="261"/>
      <c r="S141" s="261">
        <v>0</v>
      </c>
    </row>
    <row r="142" spans="1:20" ht="120" x14ac:dyDescent="0.25">
      <c r="A142" s="289"/>
      <c r="B142" s="285"/>
      <c r="C142" s="289"/>
      <c r="D142" s="273"/>
      <c r="E142" s="9" t="s">
        <v>261</v>
      </c>
      <c r="F142" s="9" t="s">
        <v>262</v>
      </c>
      <c r="G142" s="9" t="s">
        <v>263</v>
      </c>
      <c r="H142" s="9"/>
      <c r="I142" s="9"/>
      <c r="J142" s="9"/>
      <c r="K142" s="55" t="s">
        <v>270</v>
      </c>
      <c r="L142" s="9"/>
      <c r="M142" s="9" t="s">
        <v>271</v>
      </c>
      <c r="N142" s="262"/>
      <c r="O142" s="262"/>
      <c r="P142" s="262"/>
      <c r="Q142" s="262"/>
      <c r="R142" s="262"/>
      <c r="S142" s="262"/>
    </row>
    <row r="143" spans="1:20" ht="60" x14ac:dyDescent="0.25">
      <c r="A143" s="264"/>
      <c r="B143" s="282"/>
      <c r="C143" s="264"/>
      <c r="D143" s="274"/>
      <c r="E143" s="9" t="s">
        <v>264</v>
      </c>
      <c r="F143" s="9" t="s">
        <v>265</v>
      </c>
      <c r="G143" s="9" t="s">
        <v>266</v>
      </c>
      <c r="H143" s="9"/>
      <c r="I143" s="9"/>
      <c r="J143" s="9"/>
      <c r="K143" s="55"/>
      <c r="L143" s="9"/>
      <c r="M143" s="9"/>
      <c r="N143" s="271"/>
      <c r="O143" s="271"/>
      <c r="P143" s="271"/>
      <c r="Q143" s="271"/>
      <c r="R143" s="271"/>
      <c r="S143" s="271"/>
    </row>
    <row r="144" spans="1:20" ht="90" x14ac:dyDescent="0.25">
      <c r="A144" s="263" t="s">
        <v>455</v>
      </c>
      <c r="B144" s="278" t="s">
        <v>532</v>
      </c>
      <c r="C144" s="263">
        <v>909</v>
      </c>
      <c r="D144" s="272" t="s">
        <v>250</v>
      </c>
      <c r="E144" s="9" t="s">
        <v>20</v>
      </c>
      <c r="F144" s="9" t="s">
        <v>273</v>
      </c>
      <c r="G144" s="9" t="s">
        <v>90</v>
      </c>
      <c r="H144" s="9"/>
      <c r="I144" s="9"/>
      <c r="J144" s="9"/>
      <c r="K144" s="55" t="s">
        <v>29</v>
      </c>
      <c r="L144" s="9" t="s">
        <v>274</v>
      </c>
      <c r="M144" s="9" t="s">
        <v>30</v>
      </c>
      <c r="N144" s="261">
        <f>218387468.44-N138+2700805.96+1530000</f>
        <v>219480968.06999999</v>
      </c>
      <c r="O144" s="261">
        <f>218329513.8-O138+2700805.96+430000</f>
        <v>218323013.43000001</v>
      </c>
      <c r="P144" s="261">
        <f>153521291.33+3100000-P138-P136-1000000</f>
        <v>153021291.33000001</v>
      </c>
      <c r="Q144" s="261">
        <f>92532500.82+1000000-Q138-Q136-500000</f>
        <v>90130700.819999993</v>
      </c>
      <c r="R144" s="261">
        <f>54967818.71+1000000-R138-R136-500000</f>
        <v>52867818.710000001</v>
      </c>
      <c r="S144" s="261">
        <f>54967800+1500000-S138-S136</f>
        <v>53867800</v>
      </c>
    </row>
    <row r="145" spans="1:19" ht="126" customHeight="1" x14ac:dyDescent="0.25">
      <c r="A145" s="289"/>
      <c r="B145" s="285"/>
      <c r="C145" s="289"/>
      <c r="D145" s="273"/>
      <c r="E145" s="9"/>
      <c r="F145" s="9"/>
      <c r="G145" s="9"/>
      <c r="H145" s="9"/>
      <c r="I145" s="9"/>
      <c r="J145" s="9"/>
      <c r="K145" s="149" t="s">
        <v>433</v>
      </c>
      <c r="L145" s="139"/>
      <c r="M145" s="139" t="s">
        <v>434</v>
      </c>
      <c r="N145" s="262"/>
      <c r="O145" s="262"/>
      <c r="P145" s="262"/>
      <c r="Q145" s="262"/>
      <c r="R145" s="262"/>
      <c r="S145" s="262"/>
    </row>
    <row r="146" spans="1:19" ht="105" x14ac:dyDescent="0.25">
      <c r="A146" s="141"/>
      <c r="B146" s="143"/>
      <c r="C146" s="141"/>
      <c r="D146" s="142"/>
      <c r="E146" s="9"/>
      <c r="F146" s="9"/>
      <c r="G146" s="9"/>
      <c r="H146" s="9"/>
      <c r="I146" s="9"/>
      <c r="J146" s="9"/>
      <c r="K146" s="149" t="s">
        <v>587</v>
      </c>
      <c r="L146" s="149"/>
      <c r="M146" s="342" t="s">
        <v>588</v>
      </c>
      <c r="N146" s="174"/>
      <c r="O146" s="174"/>
      <c r="P146" s="174"/>
      <c r="Q146" s="174"/>
      <c r="R146" s="174"/>
      <c r="S146" s="174"/>
    </row>
    <row r="147" spans="1:19" ht="105" x14ac:dyDescent="0.25">
      <c r="A147" s="141"/>
      <c r="B147" s="143"/>
      <c r="C147" s="141"/>
      <c r="D147" s="142"/>
      <c r="E147" s="9"/>
      <c r="F147" s="9"/>
      <c r="G147" s="9"/>
      <c r="H147" s="9"/>
      <c r="I147" s="9"/>
      <c r="J147" s="9"/>
      <c r="K147" s="149" t="s">
        <v>589</v>
      </c>
      <c r="L147" s="149"/>
      <c r="M147" s="342" t="s">
        <v>590</v>
      </c>
      <c r="N147" s="174"/>
      <c r="O147" s="174"/>
      <c r="P147" s="174"/>
      <c r="Q147" s="174"/>
      <c r="R147" s="174"/>
      <c r="S147" s="174"/>
    </row>
    <row r="148" spans="1:19" s="20" customFormat="1" ht="114" x14ac:dyDescent="0.2">
      <c r="A148" s="66">
        <v>2600</v>
      </c>
      <c r="B148" s="25" t="s">
        <v>463</v>
      </c>
      <c r="C148" s="15"/>
      <c r="D148" s="23"/>
      <c r="E148" s="15"/>
      <c r="F148" s="15"/>
      <c r="G148" s="15"/>
      <c r="H148" s="15"/>
      <c r="I148" s="15"/>
      <c r="J148" s="15"/>
      <c r="K148" s="202"/>
      <c r="L148" s="15"/>
      <c r="M148" s="15"/>
      <c r="N148" s="178">
        <f t="shared" ref="N148:S148" si="18">N149+N151</f>
        <v>32866326.130000003</v>
      </c>
      <c r="O148" s="178">
        <f t="shared" si="18"/>
        <v>32835184.119999997</v>
      </c>
      <c r="P148" s="178">
        <f t="shared" si="18"/>
        <v>39040912</v>
      </c>
      <c r="Q148" s="178">
        <f t="shared" si="18"/>
        <v>38353060</v>
      </c>
      <c r="R148" s="178">
        <f t="shared" si="18"/>
        <v>38353060</v>
      </c>
      <c r="S148" s="178">
        <f t="shared" si="18"/>
        <v>38353060</v>
      </c>
    </row>
    <row r="149" spans="1:19" ht="90" x14ac:dyDescent="0.25">
      <c r="A149" s="263" t="s">
        <v>453</v>
      </c>
      <c r="B149" s="278" t="s">
        <v>533</v>
      </c>
      <c r="C149" s="263">
        <v>909</v>
      </c>
      <c r="D149" s="272" t="s">
        <v>203</v>
      </c>
      <c r="E149" s="9" t="s">
        <v>20</v>
      </c>
      <c r="F149" s="9" t="s">
        <v>33</v>
      </c>
      <c r="G149" s="8" t="s">
        <v>21</v>
      </c>
      <c r="H149" s="9" t="s">
        <v>24</v>
      </c>
      <c r="I149" s="10" t="s">
        <v>25</v>
      </c>
      <c r="J149" s="8" t="s">
        <v>26</v>
      </c>
      <c r="K149" s="55" t="s">
        <v>29</v>
      </c>
      <c r="L149" s="4"/>
      <c r="M149" s="9" t="s">
        <v>30</v>
      </c>
      <c r="N149" s="283">
        <f>11539376.31-150000</f>
        <v>11389376.310000001</v>
      </c>
      <c r="O149" s="283">
        <f>11513745.12-150000</f>
        <v>11363745.119999999</v>
      </c>
      <c r="P149" s="261">
        <v>11012401</v>
      </c>
      <c r="Q149" s="261">
        <v>10982401</v>
      </c>
      <c r="R149" s="261">
        <v>10982401</v>
      </c>
      <c r="S149" s="261">
        <v>10982401</v>
      </c>
    </row>
    <row r="150" spans="1:19" ht="285" x14ac:dyDescent="0.25">
      <c r="A150" s="264"/>
      <c r="B150" s="282"/>
      <c r="C150" s="264"/>
      <c r="D150" s="274"/>
      <c r="E150" s="8" t="s">
        <v>22</v>
      </c>
      <c r="F150" s="6" t="s">
        <v>25</v>
      </c>
      <c r="G150" s="8" t="s">
        <v>23</v>
      </c>
      <c r="H150" s="9" t="s">
        <v>27</v>
      </c>
      <c r="I150" s="10" t="s">
        <v>25</v>
      </c>
      <c r="J150" s="9" t="s">
        <v>28</v>
      </c>
      <c r="K150" s="55" t="s">
        <v>416</v>
      </c>
      <c r="L150" s="9"/>
      <c r="M150" s="9" t="s">
        <v>417</v>
      </c>
      <c r="N150" s="284"/>
      <c r="O150" s="284"/>
      <c r="P150" s="271"/>
      <c r="Q150" s="271"/>
      <c r="R150" s="271"/>
      <c r="S150" s="271"/>
    </row>
    <row r="151" spans="1:19" ht="90" x14ac:dyDescent="0.25">
      <c r="A151" s="263">
        <v>2608</v>
      </c>
      <c r="B151" s="278" t="s">
        <v>357</v>
      </c>
      <c r="C151" s="263">
        <v>909</v>
      </c>
      <c r="D151" s="272" t="s">
        <v>203</v>
      </c>
      <c r="E151" s="9" t="s">
        <v>20</v>
      </c>
      <c r="F151" s="9" t="s">
        <v>35</v>
      </c>
      <c r="G151" s="9" t="s">
        <v>21</v>
      </c>
      <c r="H151" s="12"/>
      <c r="I151" s="9"/>
      <c r="J151" s="9"/>
      <c r="K151" s="205" t="s">
        <v>204</v>
      </c>
      <c r="L151" s="9"/>
      <c r="M151" s="9" t="s">
        <v>205</v>
      </c>
      <c r="N151" s="261">
        <f>21526949.82-50000</f>
        <v>21476949.82</v>
      </c>
      <c r="O151" s="261">
        <f>21521439-50000</f>
        <v>21471439</v>
      </c>
      <c r="P151" s="340">
        <v>28028511</v>
      </c>
      <c r="Q151" s="261">
        <v>27370659</v>
      </c>
      <c r="R151" s="261">
        <v>27370659</v>
      </c>
      <c r="S151" s="261">
        <v>27370659</v>
      </c>
    </row>
    <row r="152" spans="1:19" ht="30" x14ac:dyDescent="0.25">
      <c r="A152" s="264"/>
      <c r="B152" s="282"/>
      <c r="C152" s="264"/>
      <c r="D152" s="274"/>
      <c r="E152" s="9"/>
      <c r="F152" s="9"/>
      <c r="G152" s="9"/>
      <c r="H152" s="9"/>
      <c r="I152" s="9"/>
      <c r="J152" s="9"/>
      <c r="K152" s="55" t="s">
        <v>29</v>
      </c>
      <c r="L152" s="6" t="s">
        <v>36</v>
      </c>
      <c r="M152" s="9" t="s">
        <v>37</v>
      </c>
      <c r="N152" s="271"/>
      <c r="O152" s="271"/>
      <c r="P152" s="341"/>
      <c r="Q152" s="271"/>
      <c r="R152" s="271"/>
      <c r="S152" s="271"/>
    </row>
    <row r="153" spans="1:19" s="20" customFormat="1" ht="42.75" x14ac:dyDescent="0.2">
      <c r="A153" s="86">
        <v>3200</v>
      </c>
      <c r="B153" s="88" t="s">
        <v>519</v>
      </c>
      <c r="C153" s="15"/>
      <c r="D153" s="23"/>
      <c r="E153" s="15"/>
      <c r="F153" s="15"/>
      <c r="G153" s="15"/>
      <c r="H153" s="15"/>
      <c r="I153" s="15"/>
      <c r="J153" s="15"/>
      <c r="K153" s="202"/>
      <c r="L153" s="15"/>
      <c r="M153" s="15"/>
      <c r="N153" s="178">
        <f t="shared" ref="N153:S153" si="19">N154+N155</f>
        <v>22241060</v>
      </c>
      <c r="O153" s="178">
        <f t="shared" si="19"/>
        <v>13699347.83</v>
      </c>
      <c r="P153" s="178">
        <f t="shared" si="19"/>
        <v>34790400</v>
      </c>
      <c r="Q153" s="178">
        <f t="shared" si="19"/>
        <v>34708100</v>
      </c>
      <c r="R153" s="178">
        <f t="shared" si="19"/>
        <v>34708100</v>
      </c>
      <c r="S153" s="178">
        <f t="shared" si="19"/>
        <v>34708100</v>
      </c>
    </row>
    <row r="154" spans="1:19" ht="230.25" customHeight="1" x14ac:dyDescent="0.25">
      <c r="A154" s="215">
        <v>3260</v>
      </c>
      <c r="B154" s="216" t="s">
        <v>534</v>
      </c>
      <c r="C154" s="215">
        <v>909</v>
      </c>
      <c r="D154" s="217" t="s">
        <v>207</v>
      </c>
      <c r="E154" s="246" t="s">
        <v>61</v>
      </c>
      <c r="F154" s="219" t="s">
        <v>275</v>
      </c>
      <c r="G154" s="216" t="s">
        <v>63</v>
      </c>
      <c r="H154" s="246" t="s">
        <v>276</v>
      </c>
      <c r="I154" s="219" t="s">
        <v>48</v>
      </c>
      <c r="J154" s="216" t="s">
        <v>277</v>
      </c>
      <c r="K154" s="210" t="s">
        <v>500</v>
      </c>
      <c r="L154" s="9"/>
      <c r="M154" s="9" t="s">
        <v>501</v>
      </c>
      <c r="N154" s="243">
        <v>18964300</v>
      </c>
      <c r="O154" s="243">
        <v>10425697.83</v>
      </c>
      <c r="P154" s="243">
        <v>32343600</v>
      </c>
      <c r="Q154" s="243">
        <v>32343600</v>
      </c>
      <c r="R154" s="243">
        <v>32343600</v>
      </c>
      <c r="S154" s="243">
        <v>32343600</v>
      </c>
    </row>
    <row r="155" spans="1:19" ht="105" customHeight="1" x14ac:dyDescent="0.25">
      <c r="A155" s="245">
        <v>3254</v>
      </c>
      <c r="B155" s="246" t="s">
        <v>363</v>
      </c>
      <c r="C155" s="245">
        <v>909</v>
      </c>
      <c r="D155" s="247" t="s">
        <v>418</v>
      </c>
      <c r="E155" s="246" t="s">
        <v>61</v>
      </c>
      <c r="F155" s="246" t="s">
        <v>278</v>
      </c>
      <c r="G155" s="245" t="s">
        <v>63</v>
      </c>
      <c r="H155" s="246" t="s">
        <v>279</v>
      </c>
      <c r="I155" s="246" t="s">
        <v>48</v>
      </c>
      <c r="J155" s="246" t="s">
        <v>280</v>
      </c>
      <c r="K155" s="55" t="s">
        <v>393</v>
      </c>
      <c r="L155" s="9"/>
      <c r="M155" s="9" t="s">
        <v>394</v>
      </c>
      <c r="N155" s="243">
        <f>3084500+192260</f>
        <v>3276760</v>
      </c>
      <c r="O155" s="243">
        <f>3081390+192260</f>
        <v>3273650</v>
      </c>
      <c r="P155" s="243">
        <f>200364+2246436</f>
        <v>2446800</v>
      </c>
      <c r="Q155" s="243">
        <f>2164136+200364</f>
        <v>2364500</v>
      </c>
      <c r="R155" s="243">
        <f>2164136+200364</f>
        <v>2364500</v>
      </c>
      <c r="S155" s="243">
        <v>2364500</v>
      </c>
    </row>
    <row r="156" spans="1:19" s="20" customFormat="1" ht="42.75" x14ac:dyDescent="0.2">
      <c r="A156" s="27"/>
      <c r="B156" s="26" t="s">
        <v>281</v>
      </c>
      <c r="C156" s="27">
        <v>911</v>
      </c>
      <c r="D156" s="28"/>
      <c r="E156" s="26"/>
      <c r="F156" s="26"/>
      <c r="G156" s="26"/>
      <c r="H156" s="26"/>
      <c r="I156" s="26"/>
      <c r="J156" s="26"/>
      <c r="K156" s="206"/>
      <c r="L156" s="26"/>
      <c r="M156" s="26"/>
      <c r="N156" s="187">
        <f t="shared" ref="N156:S156" si="20">N157+N173</f>
        <v>199393092.03999999</v>
      </c>
      <c r="O156" s="187">
        <f t="shared" si="20"/>
        <v>199334408.72</v>
      </c>
      <c r="P156" s="187">
        <f t="shared" si="20"/>
        <v>161846811</v>
      </c>
      <c r="Q156" s="187">
        <f t="shared" si="20"/>
        <v>152797746</v>
      </c>
      <c r="R156" s="187">
        <f t="shared" si="20"/>
        <v>152797746</v>
      </c>
      <c r="S156" s="187">
        <f t="shared" si="20"/>
        <v>152797746</v>
      </c>
    </row>
    <row r="157" spans="1:19" s="20" customFormat="1" ht="57" x14ac:dyDescent="0.2">
      <c r="A157" s="82">
        <v>2500</v>
      </c>
      <c r="B157" s="90" t="s">
        <v>462</v>
      </c>
      <c r="C157" s="15"/>
      <c r="D157" s="23"/>
      <c r="E157" s="15"/>
      <c r="F157" s="15"/>
      <c r="G157" s="15"/>
      <c r="H157" s="15"/>
      <c r="I157" s="15"/>
      <c r="J157" s="15"/>
      <c r="K157" s="202"/>
      <c r="L157" s="15"/>
      <c r="M157" s="15"/>
      <c r="N157" s="178">
        <f>N158+N168+N164+N165</f>
        <v>162549610.72</v>
      </c>
      <c r="O157" s="178">
        <f t="shared" ref="O157:S157" si="21">O158+O168+O164+O165</f>
        <v>162504576.53</v>
      </c>
      <c r="P157" s="178">
        <f t="shared" si="21"/>
        <v>123345127</v>
      </c>
      <c r="Q157" s="178">
        <f t="shared" si="21"/>
        <v>115787689</v>
      </c>
      <c r="R157" s="178">
        <f t="shared" si="21"/>
        <v>115787689</v>
      </c>
      <c r="S157" s="178">
        <f t="shared" si="21"/>
        <v>115787689</v>
      </c>
    </row>
    <row r="158" spans="1:19" ht="90" x14ac:dyDescent="0.25">
      <c r="A158" s="263">
        <v>2534</v>
      </c>
      <c r="B158" s="278" t="s">
        <v>535</v>
      </c>
      <c r="C158" s="263">
        <v>911</v>
      </c>
      <c r="D158" s="272" t="s">
        <v>548</v>
      </c>
      <c r="E158" s="9" t="s">
        <v>20</v>
      </c>
      <c r="F158" s="9" t="s">
        <v>296</v>
      </c>
      <c r="G158" s="9" t="s">
        <v>90</v>
      </c>
      <c r="H158" s="9"/>
      <c r="I158" s="9"/>
      <c r="J158" s="9"/>
      <c r="K158" s="55" t="s">
        <v>29</v>
      </c>
      <c r="L158" s="9" t="s">
        <v>165</v>
      </c>
      <c r="M158" s="9" t="s">
        <v>30</v>
      </c>
      <c r="N158" s="261">
        <f>92620623.58-N164</f>
        <v>92387768.579999998</v>
      </c>
      <c r="O158" s="261">
        <f>92618652.39-O164</f>
        <v>92385797.390000001</v>
      </c>
      <c r="P158" s="261">
        <f>31232523+65055295-P164</f>
        <v>96037818</v>
      </c>
      <c r="Q158" s="261">
        <f>29779838+62459007-Q164</f>
        <v>91988845</v>
      </c>
      <c r="R158" s="261">
        <f>62459007+29779838-R164</f>
        <v>91988845</v>
      </c>
      <c r="S158" s="261">
        <f>62459007+29779838-S164</f>
        <v>91988845</v>
      </c>
    </row>
    <row r="159" spans="1:19" x14ac:dyDescent="0.25">
      <c r="A159" s="289"/>
      <c r="B159" s="285"/>
      <c r="C159" s="289"/>
      <c r="D159" s="273"/>
      <c r="E159" s="9"/>
      <c r="F159" s="9"/>
      <c r="G159" s="9"/>
      <c r="H159" s="9"/>
      <c r="I159" s="9"/>
      <c r="J159" s="9"/>
      <c r="K159" s="55"/>
      <c r="L159" s="55"/>
      <c r="M159" s="146"/>
      <c r="N159" s="262"/>
      <c r="O159" s="262"/>
      <c r="P159" s="262"/>
      <c r="Q159" s="262"/>
      <c r="R159" s="262"/>
      <c r="S159" s="262"/>
    </row>
    <row r="160" spans="1:19" ht="165" x14ac:dyDescent="0.25">
      <c r="A160" s="264"/>
      <c r="B160" s="282"/>
      <c r="C160" s="264"/>
      <c r="D160" s="274"/>
      <c r="E160" s="98"/>
      <c r="F160" s="98"/>
      <c r="G160" s="98"/>
      <c r="H160" s="9"/>
      <c r="I160" s="9"/>
      <c r="J160" s="9"/>
      <c r="K160" s="55" t="s">
        <v>441</v>
      </c>
      <c r="L160" s="9"/>
      <c r="M160" s="9" t="s">
        <v>442</v>
      </c>
      <c r="N160" s="174"/>
      <c r="O160" s="174"/>
      <c r="P160" s="174"/>
      <c r="Q160" s="174"/>
      <c r="R160" s="174"/>
      <c r="S160" s="174"/>
    </row>
    <row r="161" spans="1:19" ht="105" x14ac:dyDescent="0.25">
      <c r="A161" s="164"/>
      <c r="B161" s="163"/>
      <c r="C161" s="164"/>
      <c r="D161" s="165"/>
      <c r="E161" s="162"/>
      <c r="F161" s="162"/>
      <c r="G161" s="162"/>
      <c r="H161" s="9"/>
      <c r="I161" s="9"/>
      <c r="J161" s="9"/>
      <c r="K161" s="55" t="s">
        <v>471</v>
      </c>
      <c r="L161" s="9"/>
      <c r="M161" s="9" t="s">
        <v>472</v>
      </c>
      <c r="N161" s="174"/>
      <c r="O161" s="174"/>
      <c r="P161" s="174"/>
      <c r="Q161" s="174"/>
      <c r="R161" s="174"/>
      <c r="S161" s="174"/>
    </row>
    <row r="162" spans="1:19" ht="150" x14ac:dyDescent="0.25">
      <c r="A162" s="164"/>
      <c r="B162" s="163"/>
      <c r="C162" s="164"/>
      <c r="D162" s="165"/>
      <c r="E162" s="162"/>
      <c r="F162" s="162"/>
      <c r="G162" s="162"/>
      <c r="H162" s="9"/>
      <c r="I162" s="9"/>
      <c r="J162" s="9"/>
      <c r="K162" s="55" t="s">
        <v>473</v>
      </c>
      <c r="L162" s="9"/>
      <c r="M162" s="9" t="s">
        <v>474</v>
      </c>
      <c r="N162" s="174"/>
      <c r="O162" s="174"/>
      <c r="P162" s="174"/>
      <c r="Q162" s="174"/>
      <c r="R162" s="174"/>
      <c r="S162" s="174"/>
    </row>
    <row r="163" spans="1:19" ht="90" x14ac:dyDescent="0.25">
      <c r="A163" s="164"/>
      <c r="B163" s="163"/>
      <c r="C163" s="164"/>
      <c r="D163" s="165"/>
      <c r="E163" s="162"/>
      <c r="F163" s="162"/>
      <c r="G163" s="162"/>
      <c r="H163" s="9"/>
      <c r="I163" s="9"/>
      <c r="J163" s="9"/>
      <c r="K163" s="55" t="s">
        <v>475</v>
      </c>
      <c r="L163" s="9"/>
      <c r="M163" s="9" t="s">
        <v>474</v>
      </c>
      <c r="N163" s="174"/>
      <c r="O163" s="174"/>
      <c r="P163" s="174"/>
      <c r="Q163" s="174"/>
      <c r="R163" s="174"/>
      <c r="S163" s="174"/>
    </row>
    <row r="164" spans="1:19" ht="165" x14ac:dyDescent="0.25">
      <c r="A164" s="11">
        <v>2535</v>
      </c>
      <c r="B164" s="9" t="s">
        <v>466</v>
      </c>
      <c r="C164" s="11">
        <v>911</v>
      </c>
      <c r="D164" s="18" t="s">
        <v>295</v>
      </c>
      <c r="E164" s="9" t="s">
        <v>297</v>
      </c>
      <c r="F164" s="9" t="s">
        <v>298</v>
      </c>
      <c r="G164" s="9" t="s">
        <v>299</v>
      </c>
      <c r="H164" s="9"/>
      <c r="I164" s="9"/>
      <c r="J164" s="9"/>
      <c r="K164" s="55" t="s">
        <v>346</v>
      </c>
      <c r="L164" s="9"/>
      <c r="M164" s="9" t="s">
        <v>347</v>
      </c>
      <c r="N164" s="179">
        <v>232855</v>
      </c>
      <c r="O164" s="179">
        <v>232855</v>
      </c>
      <c r="P164" s="179">
        <v>250000</v>
      </c>
      <c r="Q164" s="179">
        <v>250000</v>
      </c>
      <c r="R164" s="179">
        <v>250000</v>
      </c>
      <c r="S164" s="179">
        <v>250000</v>
      </c>
    </row>
    <row r="165" spans="1:19" ht="135" x14ac:dyDescent="0.25">
      <c r="A165" s="263">
        <v>2554</v>
      </c>
      <c r="B165" s="278" t="s">
        <v>467</v>
      </c>
      <c r="C165" s="263">
        <v>911</v>
      </c>
      <c r="D165" s="272" t="s">
        <v>547</v>
      </c>
      <c r="E165" s="129" t="s">
        <v>20</v>
      </c>
      <c r="F165" s="129" t="s">
        <v>47</v>
      </c>
      <c r="G165" s="129" t="s">
        <v>90</v>
      </c>
      <c r="H165" s="9"/>
      <c r="I165" s="9"/>
      <c r="J165" s="9"/>
      <c r="K165" s="55" t="s">
        <v>566</v>
      </c>
      <c r="L165" s="9"/>
      <c r="M165" s="9" t="s">
        <v>377</v>
      </c>
      <c r="N165" s="261">
        <f>253997.04+511000</f>
        <v>764997.04</v>
      </c>
      <c r="O165" s="261">
        <f>511000+253997.04</f>
        <v>764997.04</v>
      </c>
      <c r="P165" s="261">
        <f>74000+11000</f>
        <v>85000</v>
      </c>
      <c r="Q165" s="261">
        <f>74000+11000</f>
        <v>85000</v>
      </c>
      <c r="R165" s="261">
        <f>74000+11000</f>
        <v>85000</v>
      </c>
      <c r="S165" s="261">
        <f>74000+11000</f>
        <v>85000</v>
      </c>
    </row>
    <row r="166" spans="1:19" ht="165" x14ac:dyDescent="0.25">
      <c r="A166" s="289"/>
      <c r="B166" s="285"/>
      <c r="C166" s="289"/>
      <c r="D166" s="273"/>
      <c r="E166" s="148"/>
      <c r="F166" s="148"/>
      <c r="G166" s="148"/>
      <c r="H166" s="9"/>
      <c r="I166" s="9"/>
      <c r="J166" s="9"/>
      <c r="K166" s="55" t="s">
        <v>567</v>
      </c>
      <c r="L166" s="9"/>
      <c r="M166" s="9" t="s">
        <v>49</v>
      </c>
      <c r="N166" s="262"/>
      <c r="O166" s="262"/>
      <c r="P166" s="262"/>
      <c r="Q166" s="262"/>
      <c r="R166" s="262"/>
      <c r="S166" s="262"/>
    </row>
    <row r="167" spans="1:19" ht="165" x14ac:dyDescent="0.25">
      <c r="A167" s="264"/>
      <c r="B167" s="282"/>
      <c r="C167" s="264"/>
      <c r="D167" s="274"/>
      <c r="E167" s="148"/>
      <c r="F167" s="148"/>
      <c r="G167" s="148"/>
      <c r="H167" s="9"/>
      <c r="I167" s="9"/>
      <c r="J167" s="9"/>
      <c r="K167" s="55" t="s">
        <v>568</v>
      </c>
      <c r="L167" s="9"/>
      <c r="M167" s="9" t="s">
        <v>446</v>
      </c>
      <c r="N167" s="271"/>
      <c r="O167" s="271"/>
      <c r="P167" s="271"/>
      <c r="Q167" s="271"/>
      <c r="R167" s="271"/>
      <c r="S167" s="271"/>
    </row>
    <row r="168" spans="1:19" ht="75" x14ac:dyDescent="0.25">
      <c r="A168" s="263">
        <v>2555</v>
      </c>
      <c r="B168" s="263" t="s">
        <v>286</v>
      </c>
      <c r="C168" s="263">
        <v>911</v>
      </c>
      <c r="D168" s="272" t="s">
        <v>287</v>
      </c>
      <c r="E168" s="278" t="s">
        <v>20</v>
      </c>
      <c r="F168" s="278" t="s">
        <v>288</v>
      </c>
      <c r="G168" s="278" t="s">
        <v>90</v>
      </c>
      <c r="H168" s="9" t="s">
        <v>289</v>
      </c>
      <c r="I168" s="9" t="s">
        <v>290</v>
      </c>
      <c r="J168" s="9" t="s">
        <v>291</v>
      </c>
      <c r="K168" s="55" t="s">
        <v>29</v>
      </c>
      <c r="L168" s="9" t="s">
        <v>165</v>
      </c>
      <c r="M168" s="9" t="s">
        <v>30</v>
      </c>
      <c r="N168" s="261">
        <f>69674990.1-511000</f>
        <v>69163990.099999994</v>
      </c>
      <c r="O168" s="261">
        <f>69631927.1-511000</f>
        <v>69120927.099999994</v>
      </c>
      <c r="P168" s="261">
        <f>26983309-11000</f>
        <v>26972309</v>
      </c>
      <c r="Q168" s="261">
        <f>23474844-11000</f>
        <v>23463844</v>
      </c>
      <c r="R168" s="261">
        <f>23474844-11000</f>
        <v>23463844</v>
      </c>
      <c r="S168" s="261">
        <f>23474844-11000</f>
        <v>23463844</v>
      </c>
    </row>
    <row r="169" spans="1:19" ht="30" x14ac:dyDescent="0.25">
      <c r="A169" s="289"/>
      <c r="B169" s="289"/>
      <c r="C169" s="289"/>
      <c r="D169" s="273"/>
      <c r="E169" s="285"/>
      <c r="F169" s="285"/>
      <c r="G169" s="285"/>
      <c r="H169" s="9"/>
      <c r="I169" s="9"/>
      <c r="J169" s="9"/>
      <c r="K169" s="125" t="s">
        <v>353</v>
      </c>
      <c r="L169" s="9"/>
      <c r="M169" s="9" t="s">
        <v>352</v>
      </c>
      <c r="N169" s="262"/>
      <c r="O169" s="262"/>
      <c r="P169" s="262"/>
      <c r="Q169" s="262"/>
      <c r="R169" s="262"/>
      <c r="S169" s="262"/>
    </row>
    <row r="170" spans="1:19" ht="75" x14ac:dyDescent="0.25">
      <c r="A170" s="289"/>
      <c r="B170" s="289"/>
      <c r="C170" s="289"/>
      <c r="D170" s="273"/>
      <c r="E170" s="285"/>
      <c r="F170" s="285"/>
      <c r="G170" s="285"/>
      <c r="H170" s="9"/>
      <c r="I170" s="9"/>
      <c r="J170" s="9"/>
      <c r="K170" s="125" t="s">
        <v>443</v>
      </c>
      <c r="L170" s="9"/>
      <c r="M170" s="9" t="s">
        <v>444</v>
      </c>
      <c r="N170" s="262"/>
      <c r="O170" s="262"/>
      <c r="P170" s="262"/>
      <c r="Q170" s="262"/>
      <c r="R170" s="262"/>
      <c r="S170" s="262"/>
    </row>
    <row r="171" spans="1:19" ht="105" x14ac:dyDescent="0.25">
      <c r="A171" s="289"/>
      <c r="B171" s="289"/>
      <c r="C171" s="289"/>
      <c r="D171" s="273"/>
      <c r="E171" s="282"/>
      <c r="F171" s="282"/>
      <c r="G171" s="282"/>
      <c r="H171" s="9"/>
      <c r="I171" s="9"/>
      <c r="J171" s="9"/>
      <c r="K171" s="125" t="s">
        <v>292</v>
      </c>
      <c r="L171" s="144"/>
      <c r="M171" s="9" t="s">
        <v>293</v>
      </c>
      <c r="N171" s="271"/>
      <c r="O171" s="271"/>
      <c r="P171" s="271"/>
      <c r="Q171" s="271"/>
      <c r="R171" s="271"/>
      <c r="S171" s="271"/>
    </row>
    <row r="172" spans="1:19" ht="135" x14ac:dyDescent="0.25">
      <c r="A172" s="167"/>
      <c r="B172" s="167"/>
      <c r="C172" s="167"/>
      <c r="D172" s="168"/>
      <c r="E172" s="166"/>
      <c r="F172" s="166"/>
      <c r="G172" s="166"/>
      <c r="H172" s="9"/>
      <c r="I172" s="9"/>
      <c r="J172" s="9"/>
      <c r="K172" s="125" t="s">
        <v>477</v>
      </c>
      <c r="L172" s="144"/>
      <c r="M172" s="9" t="s">
        <v>478</v>
      </c>
      <c r="N172" s="176"/>
      <c r="O172" s="176"/>
      <c r="P172" s="176"/>
      <c r="Q172" s="175"/>
      <c r="R172" s="175"/>
      <c r="S172" s="175"/>
    </row>
    <row r="173" spans="1:19" s="20" customFormat="1" ht="114" x14ac:dyDescent="0.2">
      <c r="A173" s="66">
        <v>2600</v>
      </c>
      <c r="B173" s="25" t="s">
        <v>463</v>
      </c>
      <c r="C173" s="15"/>
      <c r="D173" s="23"/>
      <c r="E173" s="15"/>
      <c r="F173" s="15"/>
      <c r="G173" s="15"/>
      <c r="H173" s="15"/>
      <c r="I173" s="15"/>
      <c r="J173" s="15"/>
      <c r="K173" s="202"/>
      <c r="L173" s="15"/>
      <c r="M173" s="15"/>
      <c r="N173" s="178">
        <f t="shared" ref="N173:S173" si="22">N174+N176</f>
        <v>36843481.32</v>
      </c>
      <c r="O173" s="178">
        <f t="shared" si="22"/>
        <v>36829832.189999998</v>
      </c>
      <c r="P173" s="178">
        <f t="shared" si="22"/>
        <v>38501684</v>
      </c>
      <c r="Q173" s="178">
        <f t="shared" si="22"/>
        <v>37010057</v>
      </c>
      <c r="R173" s="178">
        <f t="shared" si="22"/>
        <v>37010057</v>
      </c>
      <c r="S173" s="178">
        <f t="shared" si="22"/>
        <v>37010057</v>
      </c>
    </row>
    <row r="174" spans="1:19" ht="90" x14ac:dyDescent="0.25">
      <c r="A174" s="263" t="s">
        <v>453</v>
      </c>
      <c r="B174" s="278" t="s">
        <v>524</v>
      </c>
      <c r="C174" s="263">
        <v>911</v>
      </c>
      <c r="D174" s="272" t="s">
        <v>282</v>
      </c>
      <c r="E174" s="9" t="s">
        <v>20</v>
      </c>
      <c r="F174" s="9" t="s">
        <v>33</v>
      </c>
      <c r="G174" s="8" t="s">
        <v>21</v>
      </c>
      <c r="H174" s="9" t="s">
        <v>24</v>
      </c>
      <c r="I174" s="10" t="s">
        <v>25</v>
      </c>
      <c r="J174" s="8" t="s">
        <v>26</v>
      </c>
      <c r="K174" s="55" t="s">
        <v>29</v>
      </c>
      <c r="L174" s="4"/>
      <c r="M174" s="9" t="s">
        <v>30</v>
      </c>
      <c r="N174" s="261">
        <v>4509104.32</v>
      </c>
      <c r="O174" s="261">
        <v>4507548.6900000004</v>
      </c>
      <c r="P174" s="261">
        <v>4340444</v>
      </c>
      <c r="Q174" s="261">
        <v>4275344</v>
      </c>
      <c r="R174" s="261">
        <v>4275344</v>
      </c>
      <c r="S174" s="261">
        <v>4275344</v>
      </c>
    </row>
    <row r="175" spans="1:19" ht="285" x14ac:dyDescent="0.25">
      <c r="A175" s="264"/>
      <c r="B175" s="282"/>
      <c r="C175" s="264"/>
      <c r="D175" s="274"/>
      <c r="E175" s="8" t="s">
        <v>22</v>
      </c>
      <c r="F175" s="6" t="s">
        <v>25</v>
      </c>
      <c r="G175" s="8" t="s">
        <v>23</v>
      </c>
      <c r="H175" s="9" t="s">
        <v>27</v>
      </c>
      <c r="I175" s="10" t="s">
        <v>25</v>
      </c>
      <c r="J175" s="9" t="s">
        <v>28</v>
      </c>
      <c r="K175" s="55" t="s">
        <v>283</v>
      </c>
      <c r="L175" s="10"/>
      <c r="M175" s="9" t="s">
        <v>284</v>
      </c>
      <c r="N175" s="271"/>
      <c r="O175" s="271"/>
      <c r="P175" s="271"/>
      <c r="Q175" s="271"/>
      <c r="R175" s="271"/>
      <c r="S175" s="271"/>
    </row>
    <row r="176" spans="1:19" ht="45" x14ac:dyDescent="0.25">
      <c r="A176" s="263">
        <v>2608</v>
      </c>
      <c r="B176" s="278" t="s">
        <v>357</v>
      </c>
      <c r="C176" s="263">
        <v>911</v>
      </c>
      <c r="D176" s="272" t="s">
        <v>282</v>
      </c>
      <c r="E176" s="278" t="s">
        <v>20</v>
      </c>
      <c r="F176" s="278" t="s">
        <v>35</v>
      </c>
      <c r="G176" s="278" t="s">
        <v>21</v>
      </c>
      <c r="H176" s="315"/>
      <c r="I176" s="263"/>
      <c r="J176" s="263"/>
      <c r="K176" s="55" t="s">
        <v>29</v>
      </c>
      <c r="L176" s="4"/>
      <c r="M176" s="9" t="s">
        <v>30</v>
      </c>
      <c r="N176" s="261">
        <v>32334377</v>
      </c>
      <c r="O176" s="261">
        <v>32322283.5</v>
      </c>
      <c r="P176" s="261">
        <v>34161240</v>
      </c>
      <c r="Q176" s="261">
        <v>32734713</v>
      </c>
      <c r="R176" s="261">
        <v>32734713</v>
      </c>
      <c r="S176" s="261">
        <v>32734713</v>
      </c>
    </row>
    <row r="177" spans="1:19" ht="75.75" customHeight="1" x14ac:dyDescent="0.25">
      <c r="A177" s="264"/>
      <c r="B177" s="282"/>
      <c r="C177" s="264"/>
      <c r="D177" s="274"/>
      <c r="E177" s="282"/>
      <c r="F177" s="282"/>
      <c r="G177" s="282"/>
      <c r="H177" s="316"/>
      <c r="I177" s="264"/>
      <c r="J177" s="264"/>
      <c r="K177" s="55" t="s">
        <v>350</v>
      </c>
      <c r="L177" s="4"/>
      <c r="M177" s="9" t="s">
        <v>351</v>
      </c>
      <c r="N177" s="271"/>
      <c r="O177" s="271"/>
      <c r="P177" s="271"/>
      <c r="Q177" s="271"/>
      <c r="R177" s="271"/>
      <c r="S177" s="271"/>
    </row>
    <row r="178" spans="1:19" s="20" customFormat="1" ht="14.25" x14ac:dyDescent="0.2">
      <c r="A178" s="30"/>
      <c r="B178" s="29" t="s">
        <v>300</v>
      </c>
      <c r="C178" s="30">
        <v>915</v>
      </c>
      <c r="D178" s="31"/>
      <c r="E178" s="29"/>
      <c r="F178" s="29"/>
      <c r="G178" s="29"/>
      <c r="H178" s="29"/>
      <c r="I178" s="29"/>
      <c r="J178" s="29"/>
      <c r="K178" s="203"/>
      <c r="L178" s="29"/>
      <c r="M178" s="29"/>
      <c r="N178" s="184">
        <f t="shared" ref="N178:S178" si="23">N179+N192</f>
        <v>166072550</v>
      </c>
      <c r="O178" s="184">
        <f t="shared" si="23"/>
        <v>166072416.19</v>
      </c>
      <c r="P178" s="184">
        <f t="shared" si="23"/>
        <v>169893717</v>
      </c>
      <c r="Q178" s="184">
        <f t="shared" si="23"/>
        <v>152576284</v>
      </c>
      <c r="R178" s="184">
        <f t="shared" si="23"/>
        <v>152632384</v>
      </c>
      <c r="S178" s="184">
        <f t="shared" si="23"/>
        <v>152540884</v>
      </c>
    </row>
    <row r="179" spans="1:19" s="20" customFormat="1" ht="57" x14ac:dyDescent="0.2">
      <c r="A179" s="82">
        <v>2500</v>
      </c>
      <c r="B179" s="90" t="s">
        <v>462</v>
      </c>
      <c r="C179" s="15"/>
      <c r="D179" s="23"/>
      <c r="E179" s="15"/>
      <c r="F179" s="15"/>
      <c r="G179" s="15"/>
      <c r="H179" s="15"/>
      <c r="I179" s="15"/>
      <c r="J179" s="15"/>
      <c r="K179" s="202"/>
      <c r="L179" s="15"/>
      <c r="M179" s="15"/>
      <c r="N179" s="186">
        <f t="shared" ref="N179:S179" si="24">N180+N183+N188</f>
        <v>161511342</v>
      </c>
      <c r="O179" s="186">
        <f t="shared" si="24"/>
        <v>161511342</v>
      </c>
      <c r="P179" s="186">
        <f t="shared" si="24"/>
        <v>163355655</v>
      </c>
      <c r="Q179" s="186">
        <f t="shared" si="24"/>
        <v>148038222</v>
      </c>
      <c r="R179" s="186">
        <f t="shared" si="24"/>
        <v>148094322</v>
      </c>
      <c r="S179" s="186">
        <f t="shared" si="24"/>
        <v>148002822</v>
      </c>
    </row>
    <row r="180" spans="1:19" ht="90" customHeight="1" x14ac:dyDescent="0.25">
      <c r="A180" s="263">
        <v>2525</v>
      </c>
      <c r="B180" s="278" t="s">
        <v>468</v>
      </c>
      <c r="C180" s="263">
        <v>915</v>
      </c>
      <c r="D180" s="272" t="s">
        <v>285</v>
      </c>
      <c r="E180" s="9" t="s">
        <v>20</v>
      </c>
      <c r="F180" s="9" t="s">
        <v>160</v>
      </c>
      <c r="G180" s="9" t="s">
        <v>90</v>
      </c>
      <c r="H180" s="9" t="s">
        <v>163</v>
      </c>
      <c r="I180" s="9" t="s">
        <v>48</v>
      </c>
      <c r="J180" s="9" t="s">
        <v>164</v>
      </c>
      <c r="K180" s="55" t="s">
        <v>29</v>
      </c>
      <c r="L180" s="9" t="s">
        <v>165</v>
      </c>
      <c r="M180" s="56" t="s">
        <v>30</v>
      </c>
      <c r="N180" s="261">
        <v>46492554.119999997</v>
      </c>
      <c r="O180" s="261">
        <v>46492554.119999997</v>
      </c>
      <c r="P180" s="261">
        <v>52727699</v>
      </c>
      <c r="Q180" s="261">
        <v>51311664</v>
      </c>
      <c r="R180" s="261">
        <v>51311664</v>
      </c>
      <c r="S180" s="261">
        <v>51311664</v>
      </c>
    </row>
    <row r="181" spans="1:19" ht="120" x14ac:dyDescent="0.25">
      <c r="A181" s="289"/>
      <c r="B181" s="285"/>
      <c r="C181" s="289"/>
      <c r="D181" s="273"/>
      <c r="E181" s="9"/>
      <c r="F181" s="9"/>
      <c r="G181" s="9"/>
      <c r="H181" s="9"/>
      <c r="I181" s="9"/>
      <c r="J181" s="9"/>
      <c r="K181" s="125" t="s">
        <v>348</v>
      </c>
      <c r="L181" s="9"/>
      <c r="M181" s="56" t="s">
        <v>349</v>
      </c>
      <c r="N181" s="262"/>
      <c r="O181" s="262"/>
      <c r="P181" s="262"/>
      <c r="Q181" s="262"/>
      <c r="R181" s="262"/>
      <c r="S181" s="262"/>
    </row>
    <row r="182" spans="1:19" ht="135" x14ac:dyDescent="0.25">
      <c r="A182" s="289"/>
      <c r="B182" s="285"/>
      <c r="C182" s="289"/>
      <c r="D182" s="273"/>
      <c r="E182" s="9"/>
      <c r="F182" s="9"/>
      <c r="G182" s="9"/>
      <c r="H182" s="9"/>
      <c r="I182" s="9"/>
      <c r="J182" s="9"/>
      <c r="K182" s="55" t="s">
        <v>445</v>
      </c>
      <c r="L182" s="55"/>
      <c r="M182" s="147" t="s">
        <v>435</v>
      </c>
      <c r="N182" s="262"/>
      <c r="O182" s="262"/>
      <c r="P182" s="262"/>
      <c r="Q182" s="262"/>
      <c r="R182" s="262"/>
      <c r="S182" s="262"/>
    </row>
    <row r="183" spans="1:19" ht="165" x14ac:dyDescent="0.25">
      <c r="A183" s="263">
        <v>2530</v>
      </c>
      <c r="B183" s="278" t="s">
        <v>303</v>
      </c>
      <c r="C183" s="263">
        <v>915</v>
      </c>
      <c r="D183" s="272" t="s">
        <v>304</v>
      </c>
      <c r="E183" s="9" t="s">
        <v>20</v>
      </c>
      <c r="F183" s="9" t="s">
        <v>305</v>
      </c>
      <c r="G183" s="9" t="s">
        <v>90</v>
      </c>
      <c r="H183" s="9" t="s">
        <v>311</v>
      </c>
      <c r="I183" s="9" t="s">
        <v>298</v>
      </c>
      <c r="J183" s="9" t="s">
        <v>312</v>
      </c>
      <c r="K183" s="55" t="s">
        <v>544</v>
      </c>
      <c r="L183" s="9"/>
      <c r="M183" s="9" t="s">
        <v>502</v>
      </c>
      <c r="N183" s="262">
        <v>61274761.840000004</v>
      </c>
      <c r="O183" s="262">
        <v>61274761.840000004</v>
      </c>
      <c r="P183" s="261">
        <v>49972723</v>
      </c>
      <c r="Q183" s="261">
        <v>47163376</v>
      </c>
      <c r="R183" s="262">
        <v>47279476</v>
      </c>
      <c r="S183" s="262">
        <v>47187976</v>
      </c>
    </row>
    <row r="184" spans="1:19" ht="210" x14ac:dyDescent="0.25">
      <c r="A184" s="289"/>
      <c r="B184" s="285"/>
      <c r="C184" s="289"/>
      <c r="D184" s="273"/>
      <c r="E184" s="9"/>
      <c r="F184" s="9"/>
      <c r="G184" s="9"/>
      <c r="H184" s="9"/>
      <c r="I184" s="9"/>
      <c r="J184" s="9"/>
      <c r="K184" s="55" t="s">
        <v>503</v>
      </c>
      <c r="L184" s="9"/>
      <c r="M184" s="9" t="s">
        <v>504</v>
      </c>
      <c r="N184" s="262"/>
      <c r="O184" s="262"/>
      <c r="P184" s="262"/>
      <c r="Q184" s="262"/>
      <c r="R184" s="262"/>
      <c r="S184" s="262"/>
    </row>
    <row r="185" spans="1:19" ht="135" x14ac:dyDescent="0.25">
      <c r="A185" s="289"/>
      <c r="B185" s="285"/>
      <c r="C185" s="289"/>
      <c r="D185" s="273"/>
      <c r="E185" s="9" t="s">
        <v>306</v>
      </c>
      <c r="F185" s="9" t="s">
        <v>48</v>
      </c>
      <c r="G185" s="9" t="s">
        <v>307</v>
      </c>
      <c r="H185" s="9"/>
      <c r="I185" s="9"/>
      <c r="J185" s="9"/>
      <c r="K185" s="125" t="s">
        <v>484</v>
      </c>
      <c r="L185" s="9"/>
      <c r="M185" s="9" t="s">
        <v>485</v>
      </c>
      <c r="N185" s="262"/>
      <c r="O185" s="262"/>
      <c r="P185" s="262"/>
      <c r="Q185" s="262"/>
      <c r="R185" s="262"/>
      <c r="S185" s="262"/>
    </row>
    <row r="186" spans="1:19" ht="180" x14ac:dyDescent="0.25">
      <c r="A186" s="289"/>
      <c r="B186" s="285"/>
      <c r="C186" s="289"/>
      <c r="D186" s="273"/>
      <c r="E186" s="9"/>
      <c r="F186" s="9"/>
      <c r="G186" s="9"/>
      <c r="H186" s="9"/>
      <c r="I186" s="9"/>
      <c r="J186" s="9"/>
      <c r="K186" s="55" t="s">
        <v>505</v>
      </c>
      <c r="L186" s="9"/>
      <c r="M186" s="9" t="s">
        <v>504</v>
      </c>
      <c r="N186" s="262"/>
      <c r="O186" s="262"/>
      <c r="P186" s="262"/>
      <c r="Q186" s="262"/>
      <c r="R186" s="262"/>
      <c r="S186" s="262"/>
    </row>
    <row r="187" spans="1:19" ht="75" x14ac:dyDescent="0.25">
      <c r="A187" s="289"/>
      <c r="B187" s="285"/>
      <c r="C187" s="289"/>
      <c r="D187" s="273"/>
      <c r="E187" s="9" t="s">
        <v>308</v>
      </c>
      <c r="F187" s="9" t="s">
        <v>310</v>
      </c>
      <c r="G187" s="9" t="s">
        <v>309</v>
      </c>
      <c r="H187" s="9"/>
      <c r="I187" s="9"/>
      <c r="J187" s="9"/>
      <c r="K187" s="125" t="s">
        <v>486</v>
      </c>
      <c r="L187" s="9"/>
      <c r="M187" s="9" t="s">
        <v>487</v>
      </c>
      <c r="N187" s="262"/>
      <c r="O187" s="262"/>
      <c r="P187" s="262"/>
      <c r="Q187" s="262"/>
      <c r="R187" s="262"/>
      <c r="S187" s="262"/>
    </row>
    <row r="188" spans="1:19" ht="105" x14ac:dyDescent="0.25">
      <c r="A188" s="263">
        <v>2531</v>
      </c>
      <c r="B188" s="278" t="s">
        <v>314</v>
      </c>
      <c r="C188" s="263">
        <v>915</v>
      </c>
      <c r="D188" s="272" t="s">
        <v>304</v>
      </c>
      <c r="E188" s="9" t="s">
        <v>20</v>
      </c>
      <c r="F188" s="9" t="s">
        <v>315</v>
      </c>
      <c r="G188" s="9" t="s">
        <v>90</v>
      </c>
      <c r="H188" s="9" t="s">
        <v>243</v>
      </c>
      <c r="I188" s="9" t="s">
        <v>319</v>
      </c>
      <c r="J188" s="9" t="s">
        <v>244</v>
      </c>
      <c r="K188" s="55" t="s">
        <v>320</v>
      </c>
      <c r="L188" s="9"/>
      <c r="M188" s="9" t="s">
        <v>313</v>
      </c>
      <c r="N188" s="261">
        <f>115018787.88-N183</f>
        <v>53744026.039999992</v>
      </c>
      <c r="O188" s="261">
        <f>115018787.88-O183</f>
        <v>53744026.039999992</v>
      </c>
      <c r="P188" s="261">
        <f>110627956-P183</f>
        <v>60655233</v>
      </c>
      <c r="Q188" s="261">
        <f>96726558-Q183</f>
        <v>49563182</v>
      </c>
      <c r="R188" s="261">
        <f>96782658-R183</f>
        <v>49503182</v>
      </c>
      <c r="S188" s="261">
        <f>96691158-S183</f>
        <v>49503182</v>
      </c>
    </row>
    <row r="189" spans="1:19" ht="150" x14ac:dyDescent="0.25">
      <c r="A189" s="289"/>
      <c r="B189" s="285"/>
      <c r="C189" s="289"/>
      <c r="D189" s="273"/>
      <c r="E189" s="9" t="s">
        <v>316</v>
      </c>
      <c r="F189" s="9" t="s">
        <v>317</v>
      </c>
      <c r="G189" s="9" t="s">
        <v>318</v>
      </c>
      <c r="H189" s="9"/>
      <c r="I189" s="9"/>
      <c r="J189" s="9"/>
      <c r="K189" s="55" t="s">
        <v>321</v>
      </c>
      <c r="L189" s="9"/>
      <c r="M189" s="9" t="s">
        <v>313</v>
      </c>
      <c r="N189" s="262"/>
      <c r="O189" s="262"/>
      <c r="P189" s="262"/>
      <c r="Q189" s="262"/>
      <c r="R189" s="262"/>
      <c r="S189" s="262"/>
    </row>
    <row r="190" spans="1:19" ht="150" x14ac:dyDescent="0.25">
      <c r="A190" s="289"/>
      <c r="B190" s="285"/>
      <c r="C190" s="289"/>
      <c r="D190" s="273"/>
      <c r="E190" s="9"/>
      <c r="F190" s="9"/>
      <c r="G190" s="9"/>
      <c r="H190" s="9"/>
      <c r="I190" s="9"/>
      <c r="J190" s="9"/>
      <c r="K190" s="55" t="s">
        <v>545</v>
      </c>
      <c r="L190" s="9"/>
      <c r="M190" s="9" t="s">
        <v>546</v>
      </c>
      <c r="N190" s="262"/>
      <c r="O190" s="262"/>
      <c r="P190" s="262"/>
      <c r="Q190" s="262"/>
      <c r="R190" s="262"/>
      <c r="S190" s="262"/>
    </row>
    <row r="191" spans="1:19" ht="150" x14ac:dyDescent="0.25">
      <c r="A191" s="264"/>
      <c r="B191" s="282"/>
      <c r="C191" s="264"/>
      <c r="D191" s="274"/>
      <c r="E191" s="9"/>
      <c r="F191" s="9"/>
      <c r="G191" s="9"/>
      <c r="H191" s="9"/>
      <c r="I191" s="9"/>
      <c r="J191" s="9"/>
      <c r="K191" s="55" t="s">
        <v>322</v>
      </c>
      <c r="L191" s="9"/>
      <c r="M191" s="9" t="s">
        <v>313</v>
      </c>
      <c r="N191" s="262"/>
      <c r="O191" s="262"/>
      <c r="P191" s="262"/>
      <c r="Q191" s="262"/>
      <c r="R191" s="262"/>
      <c r="S191" s="262"/>
    </row>
    <row r="192" spans="1:19" s="20" customFormat="1" ht="114" x14ac:dyDescent="0.2">
      <c r="A192" s="66">
        <v>2600</v>
      </c>
      <c r="B192" s="25" t="s">
        <v>463</v>
      </c>
      <c r="C192" s="15"/>
      <c r="D192" s="23"/>
      <c r="E192" s="15"/>
      <c r="F192" s="15"/>
      <c r="G192" s="15"/>
      <c r="H192" s="15"/>
      <c r="I192" s="15"/>
      <c r="J192" s="15"/>
      <c r="K192" s="202"/>
      <c r="L192" s="15"/>
      <c r="M192" s="15"/>
      <c r="N192" s="178">
        <f t="shared" ref="N192:S192" si="25">N193</f>
        <v>4561208</v>
      </c>
      <c r="O192" s="178">
        <f t="shared" si="25"/>
        <v>4561074.1900000004</v>
      </c>
      <c r="P192" s="178">
        <f t="shared" si="25"/>
        <v>6538062</v>
      </c>
      <c r="Q192" s="178">
        <f t="shared" si="25"/>
        <v>4538062</v>
      </c>
      <c r="R192" s="178">
        <f t="shared" si="25"/>
        <v>4538062</v>
      </c>
      <c r="S192" s="178">
        <f t="shared" si="25"/>
        <v>4538062</v>
      </c>
    </row>
    <row r="193" spans="1:19" ht="90" x14ac:dyDescent="0.25">
      <c r="A193" s="263" t="s">
        <v>453</v>
      </c>
      <c r="B193" s="278" t="s">
        <v>524</v>
      </c>
      <c r="C193" s="263">
        <v>915</v>
      </c>
      <c r="D193" s="272" t="s">
        <v>301</v>
      </c>
      <c r="E193" s="9" t="s">
        <v>20</v>
      </c>
      <c r="F193" s="9" t="s">
        <v>33</v>
      </c>
      <c r="G193" s="8" t="s">
        <v>21</v>
      </c>
      <c r="H193" s="9" t="s">
        <v>24</v>
      </c>
      <c r="I193" s="10" t="s">
        <v>25</v>
      </c>
      <c r="J193" s="8" t="s">
        <v>26</v>
      </c>
      <c r="K193" s="55" t="s">
        <v>29</v>
      </c>
      <c r="L193" s="4"/>
      <c r="M193" s="9" t="s">
        <v>30</v>
      </c>
      <c r="N193" s="261">
        <v>4561208</v>
      </c>
      <c r="O193" s="261">
        <v>4561074.1900000004</v>
      </c>
      <c r="P193" s="261">
        <v>6538062</v>
      </c>
      <c r="Q193" s="261">
        <v>4538062</v>
      </c>
      <c r="R193" s="261">
        <v>4538062</v>
      </c>
      <c r="S193" s="261">
        <v>4538062</v>
      </c>
    </row>
    <row r="194" spans="1:19" ht="285" x14ac:dyDescent="0.25">
      <c r="A194" s="264"/>
      <c r="B194" s="282"/>
      <c r="C194" s="264"/>
      <c r="D194" s="274"/>
      <c r="E194" s="8" t="s">
        <v>22</v>
      </c>
      <c r="F194" s="6" t="s">
        <v>25</v>
      </c>
      <c r="G194" s="8" t="s">
        <v>23</v>
      </c>
      <c r="H194" s="9" t="s">
        <v>27</v>
      </c>
      <c r="I194" s="10" t="s">
        <v>25</v>
      </c>
      <c r="J194" s="9" t="s">
        <v>28</v>
      </c>
      <c r="K194" s="55" t="s">
        <v>302</v>
      </c>
      <c r="L194" s="10"/>
      <c r="M194" s="9" t="s">
        <v>284</v>
      </c>
      <c r="N194" s="271"/>
      <c r="O194" s="271"/>
      <c r="P194" s="271"/>
      <c r="Q194" s="271"/>
      <c r="R194" s="271"/>
      <c r="S194" s="271"/>
    </row>
    <row r="195" spans="1:19" s="20" customFormat="1" ht="28.5" x14ac:dyDescent="0.2">
      <c r="A195" s="30"/>
      <c r="B195" s="29" t="s">
        <v>323</v>
      </c>
      <c r="C195" s="30">
        <v>916</v>
      </c>
      <c r="D195" s="31"/>
      <c r="E195" s="29"/>
      <c r="F195" s="29"/>
      <c r="G195" s="29"/>
      <c r="H195" s="29"/>
      <c r="I195" s="29"/>
      <c r="J195" s="29"/>
      <c r="K195" s="203"/>
      <c r="L195" s="29"/>
      <c r="M195" s="29"/>
      <c r="N195" s="184">
        <f t="shared" ref="N195:S195" si="26">N196+N204</f>
        <v>18036403</v>
      </c>
      <c r="O195" s="184">
        <f t="shared" si="26"/>
        <v>17833513.66</v>
      </c>
      <c r="P195" s="184">
        <f t="shared" si="26"/>
        <v>20856671</v>
      </c>
      <c r="Q195" s="184">
        <f t="shared" si="26"/>
        <v>14032244</v>
      </c>
      <c r="R195" s="184">
        <f t="shared" si="26"/>
        <v>14062244</v>
      </c>
      <c r="S195" s="184">
        <f t="shared" si="26"/>
        <v>14062244</v>
      </c>
    </row>
    <row r="196" spans="1:19" s="20" customFormat="1" ht="57" x14ac:dyDescent="0.2">
      <c r="A196" s="82">
        <v>2500</v>
      </c>
      <c r="B196" s="90" t="s">
        <v>462</v>
      </c>
      <c r="C196" s="32"/>
      <c r="D196" s="33"/>
      <c r="E196" s="32"/>
      <c r="F196" s="32"/>
      <c r="G196" s="32"/>
      <c r="H196" s="32"/>
      <c r="I196" s="32"/>
      <c r="J196" s="32"/>
      <c r="K196" s="207"/>
      <c r="L196" s="32"/>
      <c r="M196" s="32"/>
      <c r="N196" s="188">
        <f t="shared" ref="N196:S196" si="27">N200+N202+N197</f>
        <v>1988500</v>
      </c>
      <c r="O196" s="188">
        <f t="shared" si="27"/>
        <v>1837600</v>
      </c>
      <c r="P196" s="188">
        <f t="shared" si="27"/>
        <v>6540000</v>
      </c>
      <c r="Q196" s="188">
        <f t="shared" si="27"/>
        <v>950000</v>
      </c>
      <c r="R196" s="188">
        <f t="shared" si="27"/>
        <v>950000</v>
      </c>
      <c r="S196" s="188">
        <f t="shared" si="27"/>
        <v>950000</v>
      </c>
    </row>
    <row r="197" spans="1:19" ht="225" x14ac:dyDescent="0.25">
      <c r="A197" s="263">
        <v>2504</v>
      </c>
      <c r="B197" s="278" t="s">
        <v>89</v>
      </c>
      <c r="C197" s="321">
        <v>916</v>
      </c>
      <c r="D197" s="324" t="s">
        <v>34</v>
      </c>
      <c r="E197" s="9" t="s">
        <v>20</v>
      </c>
      <c r="F197" s="9" t="s">
        <v>93</v>
      </c>
      <c r="G197" s="9" t="s">
        <v>90</v>
      </c>
      <c r="H197" s="9" t="s">
        <v>100</v>
      </c>
      <c r="I197" s="9" t="s">
        <v>48</v>
      </c>
      <c r="J197" s="9" t="s">
        <v>26</v>
      </c>
      <c r="K197" s="55" t="s">
        <v>390</v>
      </c>
      <c r="L197" s="9"/>
      <c r="M197" s="9" t="s">
        <v>105</v>
      </c>
      <c r="N197" s="311">
        <v>12900</v>
      </c>
      <c r="O197" s="311">
        <v>0</v>
      </c>
      <c r="P197" s="261">
        <v>140000</v>
      </c>
      <c r="Q197" s="261">
        <v>50000</v>
      </c>
      <c r="R197" s="311">
        <v>50000</v>
      </c>
      <c r="S197" s="311">
        <v>50000</v>
      </c>
    </row>
    <row r="198" spans="1:19" ht="90" x14ac:dyDescent="0.25">
      <c r="A198" s="289"/>
      <c r="B198" s="285"/>
      <c r="C198" s="322"/>
      <c r="D198" s="325"/>
      <c r="E198" s="9" t="s">
        <v>91</v>
      </c>
      <c r="F198" s="9" t="s">
        <v>92</v>
      </c>
      <c r="G198" s="9" t="s">
        <v>94</v>
      </c>
      <c r="H198" s="9" t="s">
        <v>101</v>
      </c>
      <c r="I198" s="9" t="s">
        <v>48</v>
      </c>
      <c r="J198" s="9" t="s">
        <v>102</v>
      </c>
      <c r="K198" s="55" t="s">
        <v>506</v>
      </c>
      <c r="L198" s="9"/>
      <c r="M198" s="9" t="s">
        <v>507</v>
      </c>
      <c r="N198" s="312"/>
      <c r="O198" s="312"/>
      <c r="P198" s="262"/>
      <c r="Q198" s="262"/>
      <c r="R198" s="312"/>
      <c r="S198" s="312"/>
    </row>
    <row r="199" spans="1:19" ht="180" x14ac:dyDescent="0.25">
      <c r="A199" s="289"/>
      <c r="B199" s="285"/>
      <c r="C199" s="323"/>
      <c r="D199" s="326"/>
      <c r="E199" s="9" t="s">
        <v>95</v>
      </c>
      <c r="F199" s="9" t="s">
        <v>96</v>
      </c>
      <c r="G199" s="9" t="s">
        <v>97</v>
      </c>
      <c r="H199" s="9" t="s">
        <v>103</v>
      </c>
      <c r="I199" s="9" t="s">
        <v>48</v>
      </c>
      <c r="J199" s="9" t="s">
        <v>104</v>
      </c>
      <c r="K199" s="55" t="s">
        <v>108</v>
      </c>
      <c r="L199" s="9"/>
      <c r="M199" s="9" t="s">
        <v>109</v>
      </c>
      <c r="N199" s="313"/>
      <c r="O199" s="313"/>
      <c r="P199" s="271"/>
      <c r="Q199" s="271"/>
      <c r="R199" s="313"/>
      <c r="S199" s="313"/>
    </row>
    <row r="200" spans="1:19" ht="361.5" customHeight="1" x14ac:dyDescent="0.25">
      <c r="A200" s="263">
        <v>2544</v>
      </c>
      <c r="B200" s="278" t="s">
        <v>523</v>
      </c>
      <c r="C200" s="263">
        <v>916</v>
      </c>
      <c r="D200" s="272" t="s">
        <v>115</v>
      </c>
      <c r="E200" s="278" t="s">
        <v>20</v>
      </c>
      <c r="F200" s="278" t="s">
        <v>116</v>
      </c>
      <c r="G200" s="278" t="s">
        <v>90</v>
      </c>
      <c r="H200" s="9" t="s">
        <v>117</v>
      </c>
      <c r="I200" s="9" t="s">
        <v>118</v>
      </c>
      <c r="J200" s="9" t="s">
        <v>119</v>
      </c>
      <c r="K200" s="55" t="s">
        <v>29</v>
      </c>
      <c r="L200" s="9"/>
      <c r="M200" s="9" t="s">
        <v>37</v>
      </c>
      <c r="N200" s="261">
        <v>1580000</v>
      </c>
      <c r="O200" s="261">
        <v>1580000</v>
      </c>
      <c r="P200" s="261">
        <v>5900000</v>
      </c>
      <c r="Q200" s="261">
        <v>800000</v>
      </c>
      <c r="R200" s="261">
        <v>800000</v>
      </c>
      <c r="S200" s="261">
        <v>800000</v>
      </c>
    </row>
    <row r="201" spans="1:19" ht="409.5" customHeight="1" x14ac:dyDescent="0.25">
      <c r="A201" s="264"/>
      <c r="B201" s="282"/>
      <c r="C201" s="264"/>
      <c r="D201" s="274"/>
      <c r="E201" s="282"/>
      <c r="F201" s="282"/>
      <c r="G201" s="282"/>
      <c r="H201" s="9"/>
      <c r="I201" s="9"/>
      <c r="J201" s="9"/>
      <c r="K201" s="55" t="s">
        <v>120</v>
      </c>
      <c r="L201" s="9"/>
      <c r="M201" s="9" t="s">
        <v>121</v>
      </c>
      <c r="N201" s="271"/>
      <c r="O201" s="271"/>
      <c r="P201" s="271"/>
      <c r="Q201" s="271"/>
      <c r="R201" s="271"/>
      <c r="S201" s="271"/>
    </row>
    <row r="202" spans="1:19" ht="90" x14ac:dyDescent="0.25">
      <c r="A202" s="263">
        <v>2545</v>
      </c>
      <c r="B202" s="278" t="s">
        <v>536</v>
      </c>
      <c r="C202" s="263">
        <v>916</v>
      </c>
      <c r="D202" s="272" t="s">
        <v>34</v>
      </c>
      <c r="E202" s="9" t="s">
        <v>20</v>
      </c>
      <c r="F202" s="9" t="s">
        <v>47</v>
      </c>
      <c r="G202" s="9" t="s">
        <v>90</v>
      </c>
      <c r="H202" s="263"/>
      <c r="I202" s="263"/>
      <c r="J202" s="263"/>
      <c r="K202" s="208" t="s">
        <v>327</v>
      </c>
      <c r="L202" s="9"/>
      <c r="M202" s="9" t="s">
        <v>328</v>
      </c>
      <c r="N202" s="261">
        <v>395600</v>
      </c>
      <c r="O202" s="261">
        <v>257600</v>
      </c>
      <c r="P202" s="261">
        <v>500000</v>
      </c>
      <c r="Q202" s="261">
        <v>100000</v>
      </c>
      <c r="R202" s="261">
        <v>100000</v>
      </c>
      <c r="S202" s="261">
        <v>100000</v>
      </c>
    </row>
    <row r="203" spans="1:19" ht="45" x14ac:dyDescent="0.25">
      <c r="A203" s="264"/>
      <c r="B203" s="282"/>
      <c r="C203" s="264"/>
      <c r="D203" s="274"/>
      <c r="E203" s="9" t="s">
        <v>324</v>
      </c>
      <c r="F203" s="9" t="s">
        <v>325</v>
      </c>
      <c r="G203" s="9" t="s">
        <v>326</v>
      </c>
      <c r="H203" s="264"/>
      <c r="I203" s="264"/>
      <c r="J203" s="264"/>
      <c r="K203" s="209"/>
      <c r="L203" s="9"/>
      <c r="M203" s="9"/>
      <c r="N203" s="271"/>
      <c r="O203" s="271"/>
      <c r="P203" s="271"/>
      <c r="Q203" s="271"/>
      <c r="R203" s="271"/>
      <c r="S203" s="271"/>
    </row>
    <row r="204" spans="1:19" s="20" customFormat="1" ht="114" x14ac:dyDescent="0.2">
      <c r="A204" s="66">
        <v>2600</v>
      </c>
      <c r="B204" s="25" t="s">
        <v>463</v>
      </c>
      <c r="C204" s="32"/>
      <c r="D204" s="33"/>
      <c r="E204" s="32"/>
      <c r="F204" s="32"/>
      <c r="G204" s="32"/>
      <c r="H204" s="32"/>
      <c r="I204" s="32"/>
      <c r="J204" s="32"/>
      <c r="K204" s="207"/>
      <c r="L204" s="32"/>
      <c r="M204" s="32"/>
      <c r="N204" s="188">
        <f t="shared" ref="N204:S204" si="28">N205</f>
        <v>16047903</v>
      </c>
      <c r="O204" s="188">
        <f t="shared" si="28"/>
        <v>15995913.66</v>
      </c>
      <c r="P204" s="188">
        <f t="shared" si="28"/>
        <v>14316671</v>
      </c>
      <c r="Q204" s="188">
        <f t="shared" si="28"/>
        <v>13082244</v>
      </c>
      <c r="R204" s="188">
        <f t="shared" si="28"/>
        <v>13112244</v>
      </c>
      <c r="S204" s="188">
        <f t="shared" si="28"/>
        <v>13112244</v>
      </c>
    </row>
    <row r="205" spans="1:19" ht="90" x14ac:dyDescent="0.25">
      <c r="A205" s="263" t="s">
        <v>453</v>
      </c>
      <c r="B205" s="278" t="s">
        <v>537</v>
      </c>
      <c r="C205" s="263">
        <v>916</v>
      </c>
      <c r="D205" s="18" t="s">
        <v>34</v>
      </c>
      <c r="E205" s="9" t="s">
        <v>20</v>
      </c>
      <c r="F205" s="9" t="s">
        <v>33</v>
      </c>
      <c r="G205" s="8" t="s">
        <v>21</v>
      </c>
      <c r="H205" s="9" t="s">
        <v>24</v>
      </c>
      <c r="I205" s="10" t="s">
        <v>25</v>
      </c>
      <c r="J205" s="8" t="s">
        <v>26</v>
      </c>
      <c r="K205" s="55" t="s">
        <v>29</v>
      </c>
      <c r="L205" s="9"/>
      <c r="M205" s="9" t="s">
        <v>30</v>
      </c>
      <c r="N205" s="261">
        <v>16047903</v>
      </c>
      <c r="O205" s="261">
        <v>15995913.66</v>
      </c>
      <c r="P205" s="261">
        <v>14316671</v>
      </c>
      <c r="Q205" s="261">
        <v>13082244</v>
      </c>
      <c r="R205" s="261">
        <v>13112244</v>
      </c>
      <c r="S205" s="261">
        <v>13112244</v>
      </c>
    </row>
    <row r="206" spans="1:19" ht="235.5" customHeight="1" x14ac:dyDescent="0.25">
      <c r="A206" s="264"/>
      <c r="B206" s="282"/>
      <c r="C206" s="264"/>
      <c r="D206" s="18"/>
      <c r="E206" s="8" t="s">
        <v>22</v>
      </c>
      <c r="F206" s="6" t="s">
        <v>25</v>
      </c>
      <c r="G206" s="8" t="s">
        <v>23</v>
      </c>
      <c r="H206" s="246" t="s">
        <v>27</v>
      </c>
      <c r="I206" s="10" t="s">
        <v>25</v>
      </c>
      <c r="J206" s="9" t="s">
        <v>28</v>
      </c>
      <c r="K206" s="55" t="s">
        <v>508</v>
      </c>
      <c r="L206" s="9"/>
      <c r="M206" s="9" t="s">
        <v>507</v>
      </c>
      <c r="N206" s="271"/>
      <c r="O206" s="271"/>
      <c r="P206" s="271"/>
      <c r="Q206" s="271"/>
      <c r="R206" s="271"/>
      <c r="S206" s="271"/>
    </row>
    <row r="207" spans="1:19" s="20" customFormat="1" ht="14.25" x14ac:dyDescent="0.2">
      <c r="A207" s="30"/>
      <c r="B207" s="29" t="s">
        <v>330</v>
      </c>
      <c r="C207" s="30">
        <v>917</v>
      </c>
      <c r="D207" s="31"/>
      <c r="E207" s="29"/>
      <c r="F207" s="29"/>
      <c r="G207" s="29"/>
      <c r="H207" s="29"/>
      <c r="I207" s="29"/>
      <c r="J207" s="29"/>
      <c r="K207" s="203"/>
      <c r="L207" s="29"/>
      <c r="M207" s="29"/>
      <c r="N207" s="184">
        <f>N208</f>
        <v>8771657</v>
      </c>
      <c r="O207" s="184">
        <f t="shared" ref="O207:S208" si="29">O208</f>
        <v>8771657</v>
      </c>
      <c r="P207" s="184">
        <f t="shared" si="29"/>
        <v>9177132</v>
      </c>
      <c r="Q207" s="184">
        <f t="shared" si="29"/>
        <v>8786232</v>
      </c>
      <c r="R207" s="184">
        <f t="shared" si="29"/>
        <v>8793232</v>
      </c>
      <c r="S207" s="184">
        <f t="shared" si="29"/>
        <v>8793232</v>
      </c>
    </row>
    <row r="208" spans="1:19" s="20" customFormat="1" ht="114" x14ac:dyDescent="0.2">
      <c r="A208" s="66">
        <v>2600</v>
      </c>
      <c r="B208" s="25" t="s">
        <v>463</v>
      </c>
      <c r="C208" s="15"/>
      <c r="D208" s="23"/>
      <c r="E208" s="15"/>
      <c r="F208" s="15"/>
      <c r="G208" s="15"/>
      <c r="H208" s="15"/>
      <c r="I208" s="15"/>
      <c r="J208" s="15"/>
      <c r="K208" s="202"/>
      <c r="L208" s="15"/>
      <c r="M208" s="15"/>
      <c r="N208" s="178">
        <f>N209</f>
        <v>8771657</v>
      </c>
      <c r="O208" s="178">
        <f t="shared" si="29"/>
        <v>8771657</v>
      </c>
      <c r="P208" s="178">
        <f t="shared" si="29"/>
        <v>9177132</v>
      </c>
      <c r="Q208" s="178">
        <f t="shared" si="29"/>
        <v>8786232</v>
      </c>
      <c r="R208" s="178">
        <f t="shared" si="29"/>
        <v>8793232</v>
      </c>
      <c r="S208" s="178">
        <f t="shared" si="29"/>
        <v>8793232</v>
      </c>
    </row>
    <row r="209" spans="1:19" ht="90" x14ac:dyDescent="0.25">
      <c r="A209" s="263" t="s">
        <v>453</v>
      </c>
      <c r="B209" s="278" t="s">
        <v>539</v>
      </c>
      <c r="C209" s="263">
        <v>917</v>
      </c>
      <c r="D209" s="272" t="s">
        <v>331</v>
      </c>
      <c r="E209" s="9" t="s">
        <v>20</v>
      </c>
      <c r="F209" s="9" t="s">
        <v>33</v>
      </c>
      <c r="G209" s="8" t="s">
        <v>21</v>
      </c>
      <c r="H209" s="9" t="s">
        <v>24</v>
      </c>
      <c r="I209" s="10" t="s">
        <v>25</v>
      </c>
      <c r="J209" s="8" t="s">
        <v>26</v>
      </c>
      <c r="K209" s="55" t="s">
        <v>29</v>
      </c>
      <c r="L209" s="9"/>
      <c r="M209" s="9" t="s">
        <v>37</v>
      </c>
      <c r="N209" s="261">
        <v>8771657</v>
      </c>
      <c r="O209" s="261">
        <v>8771657</v>
      </c>
      <c r="P209" s="261">
        <v>9177132</v>
      </c>
      <c r="Q209" s="261">
        <v>8786232</v>
      </c>
      <c r="R209" s="261">
        <v>8793232</v>
      </c>
      <c r="S209" s="261">
        <v>8793232</v>
      </c>
    </row>
    <row r="210" spans="1:19" ht="231.75" customHeight="1" x14ac:dyDescent="0.25">
      <c r="A210" s="264"/>
      <c r="B210" s="282"/>
      <c r="C210" s="264"/>
      <c r="D210" s="274"/>
      <c r="E210" s="8" t="s">
        <v>22</v>
      </c>
      <c r="F210" s="6" t="s">
        <v>25</v>
      </c>
      <c r="G210" s="8" t="s">
        <v>23</v>
      </c>
      <c r="H210" s="9" t="s">
        <v>27</v>
      </c>
      <c r="I210" s="10" t="s">
        <v>25</v>
      </c>
      <c r="J210" s="9" t="s">
        <v>28</v>
      </c>
      <c r="K210" s="125" t="s">
        <v>574</v>
      </c>
      <c r="L210" s="9"/>
      <c r="M210" s="9"/>
      <c r="N210" s="271"/>
      <c r="O210" s="271"/>
      <c r="P210" s="271"/>
      <c r="Q210" s="271"/>
      <c r="R210" s="271"/>
      <c r="S210" s="271"/>
    </row>
    <row r="211" spans="1:19" s="20" customFormat="1" ht="14.25" x14ac:dyDescent="0.2">
      <c r="A211" s="30"/>
      <c r="B211" s="29" t="s">
        <v>333</v>
      </c>
      <c r="C211" s="30">
        <v>918</v>
      </c>
      <c r="D211" s="31"/>
      <c r="E211" s="29"/>
      <c r="F211" s="29"/>
      <c r="G211" s="29"/>
      <c r="H211" s="29"/>
      <c r="I211" s="29"/>
      <c r="J211" s="29"/>
      <c r="K211" s="203"/>
      <c r="L211" s="29"/>
      <c r="M211" s="29"/>
      <c r="N211" s="184">
        <f>N212</f>
        <v>2440722</v>
      </c>
      <c r="O211" s="184">
        <f t="shared" ref="O211:S212" si="30">O212</f>
        <v>2440722</v>
      </c>
      <c r="P211" s="184">
        <f t="shared" si="30"/>
        <v>2494415</v>
      </c>
      <c r="Q211" s="184">
        <f t="shared" si="30"/>
        <v>2451135</v>
      </c>
      <c r="R211" s="184">
        <f t="shared" si="30"/>
        <v>2461135</v>
      </c>
      <c r="S211" s="184">
        <f t="shared" si="30"/>
        <v>2461135</v>
      </c>
    </row>
    <row r="212" spans="1:19" s="20" customFormat="1" ht="114" x14ac:dyDescent="0.2">
      <c r="A212" s="66">
        <v>2600</v>
      </c>
      <c r="B212" s="25" t="s">
        <v>463</v>
      </c>
      <c r="C212" s="15"/>
      <c r="D212" s="23"/>
      <c r="E212" s="15"/>
      <c r="F212" s="15"/>
      <c r="G212" s="15"/>
      <c r="H212" s="15"/>
      <c r="I212" s="15"/>
      <c r="J212" s="15"/>
      <c r="K212" s="202"/>
      <c r="L212" s="15"/>
      <c r="M212" s="15"/>
      <c r="N212" s="178">
        <f>N213</f>
        <v>2440722</v>
      </c>
      <c r="O212" s="178">
        <f t="shared" si="30"/>
        <v>2440722</v>
      </c>
      <c r="P212" s="178">
        <f t="shared" si="30"/>
        <v>2494415</v>
      </c>
      <c r="Q212" s="178">
        <f t="shared" si="30"/>
        <v>2451135</v>
      </c>
      <c r="R212" s="178">
        <f t="shared" si="30"/>
        <v>2461135</v>
      </c>
      <c r="S212" s="178">
        <f t="shared" si="30"/>
        <v>2461135</v>
      </c>
    </row>
    <row r="213" spans="1:19" ht="90" x14ac:dyDescent="0.25">
      <c r="A213" s="263" t="s">
        <v>453</v>
      </c>
      <c r="B213" s="278" t="s">
        <v>538</v>
      </c>
      <c r="C213" s="263">
        <v>918</v>
      </c>
      <c r="D213" s="272" t="s">
        <v>332</v>
      </c>
      <c r="E213" s="9" t="s">
        <v>20</v>
      </c>
      <c r="F213" s="9" t="s">
        <v>33</v>
      </c>
      <c r="G213" s="8" t="s">
        <v>21</v>
      </c>
      <c r="H213" s="9" t="s">
        <v>24</v>
      </c>
      <c r="I213" s="10" t="s">
        <v>25</v>
      </c>
      <c r="J213" s="8" t="s">
        <v>26</v>
      </c>
      <c r="K213" s="55" t="s">
        <v>29</v>
      </c>
      <c r="L213" s="9"/>
      <c r="M213" s="9"/>
      <c r="N213" s="261">
        <v>2440722</v>
      </c>
      <c r="O213" s="261">
        <v>2440722</v>
      </c>
      <c r="P213" s="261">
        <v>2494415</v>
      </c>
      <c r="Q213" s="261">
        <v>2451135</v>
      </c>
      <c r="R213" s="261">
        <v>2461135</v>
      </c>
      <c r="S213" s="261">
        <v>2461135</v>
      </c>
    </row>
    <row r="214" spans="1:19" ht="285" x14ac:dyDescent="0.25">
      <c r="A214" s="264"/>
      <c r="B214" s="282"/>
      <c r="C214" s="264"/>
      <c r="D214" s="274"/>
      <c r="E214" s="8" t="s">
        <v>22</v>
      </c>
      <c r="F214" s="6" t="s">
        <v>25</v>
      </c>
      <c r="G214" s="8" t="s">
        <v>23</v>
      </c>
      <c r="H214" s="9" t="s">
        <v>27</v>
      </c>
      <c r="I214" s="10" t="s">
        <v>25</v>
      </c>
      <c r="J214" s="9" t="s">
        <v>28</v>
      </c>
      <c r="K214" s="55" t="s">
        <v>134</v>
      </c>
      <c r="L214" s="9"/>
      <c r="M214" s="9" t="s">
        <v>135</v>
      </c>
      <c r="N214" s="271"/>
      <c r="O214" s="271"/>
      <c r="P214" s="271"/>
      <c r="Q214" s="271"/>
      <c r="R214" s="271"/>
      <c r="S214" s="271"/>
    </row>
    <row r="215" spans="1:19" ht="26.25" customHeight="1" x14ac:dyDescent="0.25">
      <c r="A215" s="65">
        <v>2500</v>
      </c>
      <c r="B215" s="266" t="s">
        <v>386</v>
      </c>
      <c r="C215" s="269"/>
      <c r="D215" s="269"/>
      <c r="E215" s="269"/>
      <c r="F215" s="269"/>
      <c r="G215" s="269"/>
      <c r="H215" s="269"/>
      <c r="I215" s="269"/>
      <c r="J215" s="269"/>
      <c r="K215" s="269"/>
      <c r="L215" s="269"/>
      <c r="M215" s="270"/>
      <c r="N215" s="179">
        <f>N10+N46+N62+N74+N85+N121+N157+N179+N196</f>
        <v>1766293635.5599999</v>
      </c>
      <c r="O215" s="179">
        <f>O10+O46+O62+O74+O85+O121+O157+O179+O196</f>
        <v>1752298311.53</v>
      </c>
      <c r="P215" s="179">
        <f>P10+P46+P62+P74+P85+P121+P157+P179+P196</f>
        <v>1421501770.47</v>
      </c>
      <c r="Q215" s="179">
        <f>Q10+Q46+Q62+Q74+Q85+Q121+Q157+Q179+Q196</f>
        <v>1199505176.1199999</v>
      </c>
      <c r="R215" s="179">
        <f>R10+R46+R62+R74+R85+R121+R157+R179+R196</f>
        <v>1087260673.8700001</v>
      </c>
      <c r="S215" s="179">
        <f>S10+S46+S62+S74+S85+S121+S157+S179+S196</f>
        <v>1085107279</v>
      </c>
    </row>
    <row r="216" spans="1:19" ht="33.75" customHeight="1" x14ac:dyDescent="0.25">
      <c r="A216" s="14">
        <v>2600</v>
      </c>
      <c r="B216" s="266" t="s">
        <v>385</v>
      </c>
      <c r="C216" s="269"/>
      <c r="D216" s="269"/>
      <c r="E216" s="269"/>
      <c r="F216" s="269"/>
      <c r="G216" s="269"/>
      <c r="H216" s="269"/>
      <c r="I216" s="269"/>
      <c r="J216" s="269"/>
      <c r="K216" s="269"/>
      <c r="L216" s="269"/>
      <c r="M216" s="270"/>
      <c r="N216" s="179">
        <f>N24+N54+N64+N103+N148+N173+N192+N204+N208+N212</f>
        <v>275782099.27999997</v>
      </c>
      <c r="O216" s="179">
        <f>O24+O54+O64+O103+O148+O173+O192+O204+O208+O212</f>
        <v>271768976.30999994</v>
      </c>
      <c r="P216" s="179">
        <f>P24+P54+P64+P103+P148+P173+P192+P204+P208+P212</f>
        <v>300097578.84000003</v>
      </c>
      <c r="Q216" s="179">
        <f>Q24+Q54+Q64+Q103+Q148+Q173+Q192+Q204+Q208+Q212</f>
        <v>276636236.69999999</v>
      </c>
      <c r="R216" s="179">
        <f>R24+R54+R64+R103+R148+R173+R192+R204+R208+R212</f>
        <v>277939462.84000003</v>
      </c>
      <c r="S216" s="179">
        <f>S24+S54+S64+S103+S148+S173+S192+S204+S208+S212</f>
        <v>230264926</v>
      </c>
    </row>
    <row r="217" spans="1:19" ht="30" customHeight="1" x14ac:dyDescent="0.25">
      <c r="A217" s="66">
        <v>3100</v>
      </c>
      <c r="B217" s="266" t="s">
        <v>456</v>
      </c>
      <c r="C217" s="267"/>
      <c r="D217" s="267"/>
      <c r="E217" s="267"/>
      <c r="F217" s="267"/>
      <c r="G217" s="267"/>
      <c r="H217" s="267"/>
      <c r="I217" s="267"/>
      <c r="J217" s="267"/>
      <c r="K217" s="267"/>
      <c r="L217" s="267"/>
      <c r="M217" s="268"/>
      <c r="N217" s="175">
        <f>N32</f>
        <v>886400</v>
      </c>
      <c r="O217" s="175">
        <f>O32</f>
        <v>403740</v>
      </c>
      <c r="P217" s="175">
        <f>P32</f>
        <v>10100</v>
      </c>
      <c r="Q217" s="175">
        <f>Q32</f>
        <v>10600</v>
      </c>
      <c r="R217" s="175">
        <f>R32</f>
        <v>9500</v>
      </c>
      <c r="S217" s="175">
        <f>S32</f>
        <v>0</v>
      </c>
    </row>
    <row r="218" spans="1:19" x14ac:dyDescent="0.25">
      <c r="A218" s="14">
        <v>3200</v>
      </c>
      <c r="B218" s="303" t="s">
        <v>540</v>
      </c>
      <c r="C218" s="303"/>
      <c r="D218" s="303"/>
      <c r="E218" s="303"/>
      <c r="F218" s="303"/>
      <c r="G218" s="303"/>
      <c r="H218" s="303"/>
      <c r="I218" s="303"/>
      <c r="J218" s="303"/>
      <c r="K218" s="303"/>
      <c r="L218" s="303"/>
      <c r="M218" s="303"/>
      <c r="N218" s="189">
        <f>N34+N58+N153+N107</f>
        <v>153221160</v>
      </c>
      <c r="O218" s="189">
        <f>O34+O58+O153+O107</f>
        <v>138101766.53</v>
      </c>
      <c r="P218" s="189">
        <f>P34+P58+P153+P107</f>
        <v>242076300</v>
      </c>
      <c r="Q218" s="189">
        <f>Q34+Q58+Q153+Q107</f>
        <v>224898400</v>
      </c>
      <c r="R218" s="189">
        <f>R34+R58+R153+R107</f>
        <v>224898400</v>
      </c>
      <c r="S218" s="189">
        <f>S34+S58+S153+S107</f>
        <v>224898400</v>
      </c>
    </row>
    <row r="219" spans="1:19" x14ac:dyDescent="0.25">
      <c r="A219" s="14">
        <v>3400</v>
      </c>
      <c r="B219" s="266" t="s">
        <v>457</v>
      </c>
      <c r="C219" s="269"/>
      <c r="D219" s="269"/>
      <c r="E219" s="269"/>
      <c r="F219" s="269"/>
      <c r="G219" s="269"/>
      <c r="H219" s="269"/>
      <c r="I219" s="269"/>
      <c r="J219" s="269"/>
      <c r="K219" s="269"/>
      <c r="L219" s="269"/>
      <c r="M219" s="270"/>
      <c r="N219" s="189">
        <f>N114</f>
        <v>1086049727.76</v>
      </c>
      <c r="O219" s="189">
        <f>O114</f>
        <v>1081307731.76</v>
      </c>
      <c r="P219" s="189">
        <f>P114</f>
        <v>1142510400</v>
      </c>
      <c r="Q219" s="189">
        <f>Q114</f>
        <v>1142510400</v>
      </c>
      <c r="R219" s="189">
        <f>R114</f>
        <v>1142510400</v>
      </c>
      <c r="S219" s="189">
        <f>S114</f>
        <v>1135044500</v>
      </c>
    </row>
    <row r="220" spans="1:19" ht="15.75" thickBot="1" x14ac:dyDescent="0.3">
      <c r="A220" s="154"/>
      <c r="B220" s="275" t="s">
        <v>343</v>
      </c>
      <c r="C220" s="276"/>
      <c r="D220" s="276"/>
      <c r="E220" s="276"/>
      <c r="F220" s="276"/>
      <c r="G220" s="276"/>
      <c r="H220" s="276"/>
      <c r="I220" s="276"/>
      <c r="J220" s="276"/>
      <c r="K220" s="276"/>
      <c r="L220" s="276"/>
      <c r="M220" s="277"/>
      <c r="N220" s="190">
        <f t="shared" ref="N220:S220" si="31">SUM(N215:N218)+N219</f>
        <v>3282233022.6000004</v>
      </c>
      <c r="O220" s="190">
        <f t="shared" si="31"/>
        <v>3243880526.1300001</v>
      </c>
      <c r="P220" s="190">
        <f t="shared" si="31"/>
        <v>3106196149.3099999</v>
      </c>
      <c r="Q220" s="190">
        <f t="shared" si="31"/>
        <v>2843560812.8199997</v>
      </c>
      <c r="R220" s="190">
        <f t="shared" si="31"/>
        <v>2732618436.71</v>
      </c>
      <c r="S220" s="190">
        <f t="shared" si="31"/>
        <v>2675315105</v>
      </c>
    </row>
    <row r="221" spans="1:19" hidden="1" x14ac:dyDescent="0.25">
      <c r="N221" s="36" t="e">
        <f>N211+N207+N195+N178+N156+N120+#REF!+N84+N73+N61+N45+N9</f>
        <v>#REF!</v>
      </c>
      <c r="O221" s="36" t="e">
        <f>O211+O207+O195+O178+O156+O120+#REF!+O84+O73+O61+O45+O9</f>
        <v>#REF!</v>
      </c>
      <c r="P221" s="36" t="e">
        <f>P211+P207+P195+P178+P156+P120+#REF!+P84+P73+P61+P45+P9</f>
        <v>#REF!</v>
      </c>
      <c r="Q221" s="36" t="e">
        <f>Q211+Q207+Q195+Q178+Q156+Q120+#REF!+Q84+Q73+Q61+Q45+Q9</f>
        <v>#REF!</v>
      </c>
      <c r="R221" s="36" t="e">
        <f>R211+R207+R195+R178+R156+R120+#REF!+R84+R73+R61+R45+R9</f>
        <v>#REF!</v>
      </c>
      <c r="S221" s="36" t="e">
        <f>S211+S207+S195+S178+S156+S120+#REF!+S84+S73+S61+S45+S9</f>
        <v>#REF!</v>
      </c>
    </row>
    <row r="222" spans="1:19" hidden="1" x14ac:dyDescent="0.25">
      <c r="N222" s="17" t="e">
        <f t="shared" ref="N222:S222" si="32">N220-N221</f>
        <v>#REF!</v>
      </c>
      <c r="O222" s="17" t="e">
        <f t="shared" si="32"/>
        <v>#REF!</v>
      </c>
      <c r="P222" s="17" t="e">
        <f t="shared" si="32"/>
        <v>#REF!</v>
      </c>
      <c r="Q222" s="17" t="e">
        <f t="shared" si="32"/>
        <v>#REF!</v>
      </c>
      <c r="R222" s="17" t="e">
        <f t="shared" si="32"/>
        <v>#REF!</v>
      </c>
      <c r="S222" s="17" t="e">
        <f t="shared" si="32"/>
        <v>#REF!</v>
      </c>
    </row>
    <row r="223" spans="1:19" hidden="1" x14ac:dyDescent="0.25">
      <c r="N223" s="17">
        <v>2445385506.8400002</v>
      </c>
      <c r="O223" s="17">
        <v>2404316517.79</v>
      </c>
      <c r="P223" s="94">
        <v>2728038322.6999998</v>
      </c>
      <c r="Q223" s="94">
        <f>2456707715.23-26800000</f>
        <v>2429907715.23</v>
      </c>
      <c r="R223" s="94">
        <f>2389651888.9-52000000</f>
        <v>2337651888.9000001</v>
      </c>
      <c r="S223" s="94">
        <f>2231159314-52000000</f>
        <v>2179159314</v>
      </c>
    </row>
    <row r="224" spans="1:19" hidden="1" x14ac:dyDescent="0.25">
      <c r="N224" s="94" t="e">
        <f>N221-N223</f>
        <v>#REF!</v>
      </c>
      <c r="O224" s="94" t="e">
        <f>O221-O223</f>
        <v>#REF!</v>
      </c>
      <c r="P224" s="94" t="e">
        <f>P221-P223</f>
        <v>#REF!</v>
      </c>
      <c r="Q224" s="94">
        <f>Q220-Q223</f>
        <v>413653097.58999968</v>
      </c>
      <c r="R224" s="94">
        <f>R220-R223</f>
        <v>394966547.80999994</v>
      </c>
      <c r="S224" s="1">
        <f>S220-S223</f>
        <v>496155791</v>
      </c>
    </row>
    <row r="225" spans="1:19" x14ac:dyDescent="0.25">
      <c r="Q225" s="94">
        <v>33000000</v>
      </c>
      <c r="R225" s="94">
        <v>67800000</v>
      </c>
      <c r="S225" s="94">
        <v>67800000</v>
      </c>
    </row>
    <row r="226" spans="1:19" x14ac:dyDescent="0.25">
      <c r="N226" s="94">
        <v>3282233022.5999999</v>
      </c>
      <c r="O226" s="94">
        <v>3243880526.1300001</v>
      </c>
      <c r="Q226" s="94">
        <f>Q220+Q225</f>
        <v>2876560812.8199997</v>
      </c>
      <c r="R226" s="94">
        <f t="shared" ref="R226:S226" si="33">R220+R225</f>
        <v>2800418436.71</v>
      </c>
      <c r="S226" s="94">
        <f t="shared" si="33"/>
        <v>2743115105</v>
      </c>
    </row>
    <row r="227" spans="1:19" x14ac:dyDescent="0.25">
      <c r="A227" s="265" t="s">
        <v>496</v>
      </c>
      <c r="B227" s="265"/>
      <c r="C227" s="265"/>
      <c r="D227" s="265"/>
      <c r="E227" s="1" t="s">
        <v>497</v>
      </c>
      <c r="P227" s="94"/>
      <c r="Q227" s="94"/>
      <c r="R227" s="94"/>
    </row>
    <row r="228" spans="1:19" x14ac:dyDescent="0.25">
      <c r="P228" s="94"/>
      <c r="Q228" s="94"/>
      <c r="R228" s="94"/>
    </row>
  </sheetData>
  <mergeCells count="587">
    <mergeCell ref="N29:N30"/>
    <mergeCell ref="O29:O30"/>
    <mergeCell ref="P29:P30"/>
    <mergeCell ref="Q29:Q30"/>
    <mergeCell ref="R29:R30"/>
    <mergeCell ref="O200:O201"/>
    <mergeCell ref="J202:J203"/>
    <mergeCell ref="J176:J177"/>
    <mergeCell ref="R200:R201"/>
    <mergeCell ref="R197:R199"/>
    <mergeCell ref="P176:P177"/>
    <mergeCell ref="Q176:Q177"/>
    <mergeCell ref="Q180:Q182"/>
    <mergeCell ref="R176:R177"/>
    <mergeCell ref="Q183:Q187"/>
    <mergeCell ref="P193:P194"/>
    <mergeCell ref="P174:P175"/>
    <mergeCell ref="Q174:Q175"/>
    <mergeCell ref="P183:P187"/>
    <mergeCell ref="R117:R118"/>
    <mergeCell ref="P136:P137"/>
    <mergeCell ref="Q136:Q137"/>
    <mergeCell ref="P138:P140"/>
    <mergeCell ref="O75:O79"/>
    <mergeCell ref="P205:P206"/>
    <mergeCell ref="Q205:Q206"/>
    <mergeCell ref="P209:P210"/>
    <mergeCell ref="Q209:Q210"/>
    <mergeCell ref="R136:R137"/>
    <mergeCell ref="R144:R145"/>
    <mergeCell ref="Q202:Q203"/>
    <mergeCell ref="Q213:Q214"/>
    <mergeCell ref="N17:N19"/>
    <mergeCell ref="O17:O19"/>
    <mergeCell ref="P17:P19"/>
    <mergeCell ref="Q17:Q19"/>
    <mergeCell ref="P158:P159"/>
    <mergeCell ref="Q158:Q159"/>
    <mergeCell ref="Q130:Q131"/>
    <mergeCell ref="P141:P143"/>
    <mergeCell ref="Q141:Q143"/>
    <mergeCell ref="P144:P145"/>
    <mergeCell ref="Q144:Q145"/>
    <mergeCell ref="P149:P150"/>
    <mergeCell ref="Q149:Q150"/>
    <mergeCell ref="P151:P152"/>
    <mergeCell ref="Q151:Q152"/>
    <mergeCell ref="N21:N23"/>
    <mergeCell ref="S117:S118"/>
    <mergeCell ref="S125:S128"/>
    <mergeCell ref="S168:S171"/>
    <mergeCell ref="P165:P167"/>
    <mergeCell ref="Q165:Q167"/>
    <mergeCell ref="R165:R167"/>
    <mergeCell ref="S165:S167"/>
    <mergeCell ref="Q138:Q140"/>
    <mergeCell ref="S138:S140"/>
    <mergeCell ref="S136:S137"/>
    <mergeCell ref="R138:R140"/>
    <mergeCell ref="S151:S152"/>
    <mergeCell ref="S144:S145"/>
    <mergeCell ref="S141:S143"/>
    <mergeCell ref="S149:S150"/>
    <mergeCell ref="R141:R143"/>
    <mergeCell ref="R151:R152"/>
    <mergeCell ref="P168:P171"/>
    <mergeCell ref="R168:R171"/>
    <mergeCell ref="S122:S124"/>
    <mergeCell ref="S130:S131"/>
    <mergeCell ref="R125:R128"/>
    <mergeCell ref="P125:P128"/>
    <mergeCell ref="S15:S16"/>
    <mergeCell ref="P25:P26"/>
    <mergeCell ref="Q25:Q26"/>
    <mergeCell ref="P27:P28"/>
    <mergeCell ref="S69:S70"/>
    <mergeCell ref="S65:S67"/>
    <mergeCell ref="O38:O39"/>
    <mergeCell ref="R38:R39"/>
    <mergeCell ref="S59:S60"/>
    <mergeCell ref="S55:S57"/>
    <mergeCell ref="S29:S30"/>
    <mergeCell ref="S40:S41"/>
    <mergeCell ref="S47:S50"/>
    <mergeCell ref="P42:P43"/>
    <mergeCell ref="R17:R19"/>
    <mergeCell ref="S17:S19"/>
    <mergeCell ref="Q15:Q16"/>
    <mergeCell ref="R15:R16"/>
    <mergeCell ref="P38:P39"/>
    <mergeCell ref="P40:P41"/>
    <mergeCell ref="P65:P67"/>
    <mergeCell ref="P52:P53"/>
    <mergeCell ref="O59:O60"/>
    <mergeCell ref="O42:O43"/>
    <mergeCell ref="S38:S39"/>
    <mergeCell ref="S25:S26"/>
    <mergeCell ref="Q21:Q23"/>
    <mergeCell ref="R21:R23"/>
    <mergeCell ref="S21:S23"/>
    <mergeCell ref="Q27:Q28"/>
    <mergeCell ref="S52:S53"/>
    <mergeCell ref="Q69:Q70"/>
    <mergeCell ref="Q42:Q43"/>
    <mergeCell ref="R42:R43"/>
    <mergeCell ref="Q38:Q39"/>
    <mergeCell ref="Q40:Q41"/>
    <mergeCell ref="Q59:Q60"/>
    <mergeCell ref="Q65:Q67"/>
    <mergeCell ref="Q52:Q53"/>
    <mergeCell ref="P47:P50"/>
    <mergeCell ref="Q47:Q50"/>
    <mergeCell ref="O47:O50"/>
    <mergeCell ref="A141:A143"/>
    <mergeCell ref="B144:B145"/>
    <mergeCell ref="A149:A150"/>
    <mergeCell ref="B149:B150"/>
    <mergeCell ref="C149:C150"/>
    <mergeCell ref="D149:D150"/>
    <mergeCell ref="B141:B143"/>
    <mergeCell ref="A144:A145"/>
    <mergeCell ref="D144:D145"/>
    <mergeCell ref="A136:A137"/>
    <mergeCell ref="B136:B137"/>
    <mergeCell ref="C136:C137"/>
    <mergeCell ref="A97:A100"/>
    <mergeCell ref="P75:P79"/>
    <mergeCell ref="Q125:Q128"/>
    <mergeCell ref="N59:N60"/>
    <mergeCell ref="P55:P57"/>
    <mergeCell ref="Q55:Q57"/>
    <mergeCell ref="P59:P60"/>
    <mergeCell ref="O115:O116"/>
    <mergeCell ref="Q115:Q116"/>
    <mergeCell ref="S75:S79"/>
    <mergeCell ref="S81:S82"/>
    <mergeCell ref="S104:S105"/>
    <mergeCell ref="S86:S90"/>
    <mergeCell ref="R101:R102"/>
    <mergeCell ref="R75:R79"/>
    <mergeCell ref="R81:R82"/>
    <mergeCell ref="S101:S102"/>
    <mergeCell ref="S42:S43"/>
    <mergeCell ref="R86:R90"/>
    <mergeCell ref="R69:R70"/>
    <mergeCell ref="R47:R50"/>
    <mergeCell ref="R52:R53"/>
    <mergeCell ref="R104:R105"/>
    <mergeCell ref="R71:R72"/>
    <mergeCell ref="S71:S72"/>
    <mergeCell ref="E11:E12"/>
    <mergeCell ref="N25:N26"/>
    <mergeCell ref="O27:O28"/>
    <mergeCell ref="R27:R28"/>
    <mergeCell ref="S27:S28"/>
    <mergeCell ref="E15:E16"/>
    <mergeCell ref="F15:F16"/>
    <mergeCell ref="G15:G16"/>
    <mergeCell ref="O40:O41"/>
    <mergeCell ref="O25:O26"/>
    <mergeCell ref="R25:R26"/>
    <mergeCell ref="N40:N41"/>
    <mergeCell ref="E27:E28"/>
    <mergeCell ref="E38:E39"/>
    <mergeCell ref="R40:R41"/>
    <mergeCell ref="F21:F23"/>
    <mergeCell ref="G21:G23"/>
    <mergeCell ref="G27:G28"/>
    <mergeCell ref="N27:N28"/>
    <mergeCell ref="P21:P23"/>
    <mergeCell ref="N15:N16"/>
    <mergeCell ref="O15:O16"/>
    <mergeCell ref="N38:N39"/>
    <mergeCell ref="P15:P16"/>
    <mergeCell ref="N86:N90"/>
    <mergeCell ref="N101:N102"/>
    <mergeCell ref="N69:N70"/>
    <mergeCell ref="O104:O105"/>
    <mergeCell ref="P101:P102"/>
    <mergeCell ref="N75:N79"/>
    <mergeCell ref="O86:O90"/>
    <mergeCell ref="Q101:Q102"/>
    <mergeCell ref="Q75:Q79"/>
    <mergeCell ref="P81:P82"/>
    <mergeCell ref="Q81:Q82"/>
    <mergeCell ref="P86:P90"/>
    <mergeCell ref="Q86:Q90"/>
    <mergeCell ref="O69:O70"/>
    <mergeCell ref="P69:P70"/>
    <mergeCell ref="N81:N82"/>
    <mergeCell ref="O81:O82"/>
    <mergeCell ref="O101:O102"/>
    <mergeCell ref="Q71:Q72"/>
    <mergeCell ref="P115:P116"/>
    <mergeCell ref="N71:N72"/>
    <mergeCell ref="R132:R133"/>
    <mergeCell ref="N104:N105"/>
    <mergeCell ref="N122:N124"/>
    <mergeCell ref="H122:H123"/>
    <mergeCell ref="N134:N135"/>
    <mergeCell ref="Q132:Q133"/>
    <mergeCell ref="P132:P133"/>
    <mergeCell ref="R115:R116"/>
    <mergeCell ref="P104:P105"/>
    <mergeCell ref="N132:N133"/>
    <mergeCell ref="O122:O124"/>
    <mergeCell ref="R122:R124"/>
    <mergeCell ref="O117:O118"/>
    <mergeCell ref="O132:O133"/>
    <mergeCell ref="P134:P135"/>
    <mergeCell ref="Q122:Q124"/>
    <mergeCell ref="P117:P118"/>
    <mergeCell ref="Q117:Q118"/>
    <mergeCell ref="P130:P131"/>
    <mergeCell ref="P122:P124"/>
    <mergeCell ref="O130:O131"/>
    <mergeCell ref="O125:O128"/>
    <mergeCell ref="N125:N128"/>
    <mergeCell ref="J134:J135"/>
    <mergeCell ref="S132:S133"/>
    <mergeCell ref="S134:S135"/>
    <mergeCell ref="S115:S116"/>
    <mergeCell ref="Q134:Q135"/>
    <mergeCell ref="R134:R135"/>
    <mergeCell ref="Q104:Q105"/>
    <mergeCell ref="S205:S206"/>
    <mergeCell ref="O134:O135"/>
    <mergeCell ref="R130:R131"/>
    <mergeCell ref="O138:O140"/>
    <mergeCell ref="O151:O152"/>
    <mergeCell ref="O149:O150"/>
    <mergeCell ref="N193:N194"/>
    <mergeCell ref="N197:N199"/>
    <mergeCell ref="N188:N191"/>
    <mergeCell ref="N180:N182"/>
    <mergeCell ref="N158:N159"/>
    <mergeCell ref="N183:N187"/>
    <mergeCell ref="O197:O199"/>
    <mergeCell ref="O176:O177"/>
    <mergeCell ref="N141:N143"/>
    <mergeCell ref="N138:N140"/>
    <mergeCell ref="O213:O214"/>
    <mergeCell ref="R158:R159"/>
    <mergeCell ref="S158:S159"/>
    <mergeCell ref="O158:O159"/>
    <mergeCell ref="O174:O175"/>
    <mergeCell ref="R174:R175"/>
    <mergeCell ref="S174:S175"/>
    <mergeCell ref="S213:S214"/>
    <mergeCell ref="R213:R214"/>
    <mergeCell ref="S183:S187"/>
    <mergeCell ref="R209:R210"/>
    <mergeCell ref="S209:S210"/>
    <mergeCell ref="S200:S201"/>
    <mergeCell ref="S202:S203"/>
    <mergeCell ref="O193:O194"/>
    <mergeCell ref="R193:R194"/>
    <mergeCell ref="S193:S194"/>
    <mergeCell ref="S176:S177"/>
    <mergeCell ref="S197:S199"/>
    <mergeCell ref="R202:R203"/>
    <mergeCell ref="O202:O203"/>
    <mergeCell ref="P202:P203"/>
    <mergeCell ref="P213:P214"/>
    <mergeCell ref="O188:O191"/>
    <mergeCell ref="A188:A191"/>
    <mergeCell ref="B188:B191"/>
    <mergeCell ref="C188:C191"/>
    <mergeCell ref="D188:D191"/>
    <mergeCell ref="A209:A210"/>
    <mergeCell ref="B209:B210"/>
    <mergeCell ref="C202:C203"/>
    <mergeCell ref="D202:D203"/>
    <mergeCell ref="A197:A199"/>
    <mergeCell ref="B197:B199"/>
    <mergeCell ref="C197:C199"/>
    <mergeCell ref="D197:D199"/>
    <mergeCell ref="D193:D194"/>
    <mergeCell ref="A193:A194"/>
    <mergeCell ref="H202:H203"/>
    <mergeCell ref="A213:A214"/>
    <mergeCell ref="B213:B214"/>
    <mergeCell ref="C213:C214"/>
    <mergeCell ref="N213:N214"/>
    <mergeCell ref="N202:N203"/>
    <mergeCell ref="A200:A201"/>
    <mergeCell ref="A202:A203"/>
    <mergeCell ref="B202:B203"/>
    <mergeCell ref="N209:N210"/>
    <mergeCell ref="N200:N201"/>
    <mergeCell ref="I202:I203"/>
    <mergeCell ref="B200:B201"/>
    <mergeCell ref="C200:C201"/>
    <mergeCell ref="D200:D201"/>
    <mergeCell ref="E200:E201"/>
    <mergeCell ref="F200:F201"/>
    <mergeCell ref="G200:G201"/>
    <mergeCell ref="D11:D12"/>
    <mergeCell ref="A5:A7"/>
    <mergeCell ref="B5:B7"/>
    <mergeCell ref="C6:C7"/>
    <mergeCell ref="D6:D7"/>
    <mergeCell ref="A21:A23"/>
    <mergeCell ref="B21:B23"/>
    <mergeCell ref="C21:C23"/>
    <mergeCell ref="D21:D23"/>
    <mergeCell ref="A15:A16"/>
    <mergeCell ref="B15:B16"/>
    <mergeCell ref="A17:A18"/>
    <mergeCell ref="A151:A152"/>
    <mergeCell ref="B151:B152"/>
    <mergeCell ref="C151:C152"/>
    <mergeCell ref="D151:D152"/>
    <mergeCell ref="A25:A26"/>
    <mergeCell ref="B25:B26"/>
    <mergeCell ref="C25:C26"/>
    <mergeCell ref="D25:D26"/>
    <mergeCell ref="B27:B28"/>
    <mergeCell ref="C27:C28"/>
    <mergeCell ref="A27:A28"/>
    <mergeCell ref="D27:D28"/>
    <mergeCell ref="A29:A30"/>
    <mergeCell ref="B29:B30"/>
    <mergeCell ref="C29:C30"/>
    <mergeCell ref="D29:D30"/>
    <mergeCell ref="B138:B140"/>
    <mergeCell ref="C134:C135"/>
    <mergeCell ref="C138:C140"/>
    <mergeCell ref="C144:C145"/>
    <mergeCell ref="B75:B79"/>
    <mergeCell ref="B81:B82"/>
    <mergeCell ref="C81:C82"/>
    <mergeCell ref="D81:D82"/>
    <mergeCell ref="A174:A175"/>
    <mergeCell ref="D180:D182"/>
    <mergeCell ref="E176:E177"/>
    <mergeCell ref="F176:F177"/>
    <mergeCell ref="G176:G177"/>
    <mergeCell ref="H176:H177"/>
    <mergeCell ref="I176:I177"/>
    <mergeCell ref="B17:B18"/>
    <mergeCell ref="C17:C18"/>
    <mergeCell ref="D17:D18"/>
    <mergeCell ref="F27:F28"/>
    <mergeCell ref="B174:B175"/>
    <mergeCell ref="C174:C175"/>
    <mergeCell ref="D174:D175"/>
    <mergeCell ref="F134:F135"/>
    <mergeCell ref="F69:F70"/>
    <mergeCell ref="H134:H135"/>
    <mergeCell ref="I134:I135"/>
    <mergeCell ref="D138:D140"/>
    <mergeCell ref="E168:E171"/>
    <mergeCell ref="F168:F171"/>
    <mergeCell ref="G168:G171"/>
    <mergeCell ref="A165:A167"/>
    <mergeCell ref="B165:B167"/>
    <mergeCell ref="A183:A187"/>
    <mergeCell ref="B183:B187"/>
    <mergeCell ref="C183:C187"/>
    <mergeCell ref="D183:D187"/>
    <mergeCell ref="A176:A177"/>
    <mergeCell ref="B176:B177"/>
    <mergeCell ref="C176:C177"/>
    <mergeCell ref="D176:D177"/>
    <mergeCell ref="A180:A182"/>
    <mergeCell ref="B180:B182"/>
    <mergeCell ref="C180:C182"/>
    <mergeCell ref="R11:R13"/>
    <mergeCell ref="Q6:S6"/>
    <mergeCell ref="F11:F12"/>
    <mergeCell ref="S11:S13"/>
    <mergeCell ref="G11:G12"/>
    <mergeCell ref="A168:A171"/>
    <mergeCell ref="B168:B171"/>
    <mergeCell ref="C168:C171"/>
    <mergeCell ref="D168:D171"/>
    <mergeCell ref="C165:C167"/>
    <mergeCell ref="D165:D167"/>
    <mergeCell ref="A132:A133"/>
    <mergeCell ref="B132:B133"/>
    <mergeCell ref="C132:C133"/>
    <mergeCell ref="A55:A57"/>
    <mergeCell ref="E134:E135"/>
    <mergeCell ref="D86:D90"/>
    <mergeCell ref="C141:C143"/>
    <mergeCell ref="D141:D143"/>
    <mergeCell ref="B134:B135"/>
    <mergeCell ref="A134:A135"/>
    <mergeCell ref="A138:A140"/>
    <mergeCell ref="A158:A160"/>
    <mergeCell ref="B158:B160"/>
    <mergeCell ref="C2:P2"/>
    <mergeCell ref="K6:K7"/>
    <mergeCell ref="L6:L7"/>
    <mergeCell ref="M6:M7"/>
    <mergeCell ref="N6:O6"/>
    <mergeCell ref="C5:D5"/>
    <mergeCell ref="C11:C12"/>
    <mergeCell ref="O21:O23"/>
    <mergeCell ref="C15:C16"/>
    <mergeCell ref="D15:D16"/>
    <mergeCell ref="N5:S5"/>
    <mergeCell ref="E6:E7"/>
    <mergeCell ref="F6:F7"/>
    <mergeCell ref="G6:G7"/>
    <mergeCell ref="H6:H7"/>
    <mergeCell ref="I6:I7"/>
    <mergeCell ref="J6:J7"/>
    <mergeCell ref="E5:G5"/>
    <mergeCell ref="H5:J5"/>
    <mergeCell ref="K5:M5"/>
    <mergeCell ref="N11:N13"/>
    <mergeCell ref="O11:O13"/>
    <mergeCell ref="P11:P13"/>
    <mergeCell ref="Q11:Q13"/>
    <mergeCell ref="N47:N50"/>
    <mergeCell ref="A47:A50"/>
    <mergeCell ref="B47:B50"/>
    <mergeCell ref="C47:C50"/>
    <mergeCell ref="B52:B53"/>
    <mergeCell ref="C52:C53"/>
    <mergeCell ref="D52:D53"/>
    <mergeCell ref="B38:B39"/>
    <mergeCell ref="C38:C39"/>
    <mergeCell ref="D38:D39"/>
    <mergeCell ref="F38:F39"/>
    <mergeCell ref="G38:G39"/>
    <mergeCell ref="N42:N43"/>
    <mergeCell ref="N52:N53"/>
    <mergeCell ref="B218:M218"/>
    <mergeCell ref="B216:M216"/>
    <mergeCell ref="B125:B128"/>
    <mergeCell ref="B130:B131"/>
    <mergeCell ref="B55:B57"/>
    <mergeCell ref="C55:C57"/>
    <mergeCell ref="D59:D60"/>
    <mergeCell ref="D55:D57"/>
    <mergeCell ref="F65:F66"/>
    <mergeCell ref="G65:G66"/>
    <mergeCell ref="F59:F60"/>
    <mergeCell ref="G59:G60"/>
    <mergeCell ref="F55:F56"/>
    <mergeCell ref="G55:G56"/>
    <mergeCell ref="C209:C210"/>
    <mergeCell ref="D209:D210"/>
    <mergeCell ref="B205:B206"/>
    <mergeCell ref="C205:C206"/>
    <mergeCell ref="B193:B194"/>
    <mergeCell ref="C193:C194"/>
    <mergeCell ref="D130:D131"/>
    <mergeCell ref="D125:D128"/>
    <mergeCell ref="C158:C160"/>
    <mergeCell ref="D213:D214"/>
    <mergeCell ref="N55:N57"/>
    <mergeCell ref="O55:O57"/>
    <mergeCell ref="N65:N67"/>
    <mergeCell ref="O65:O67"/>
    <mergeCell ref="R55:R57"/>
    <mergeCell ref="P71:P72"/>
    <mergeCell ref="O71:O72"/>
    <mergeCell ref="O52:O53"/>
    <mergeCell ref="R65:R67"/>
    <mergeCell ref="R59:R60"/>
    <mergeCell ref="A81:A82"/>
    <mergeCell ref="J55:J56"/>
    <mergeCell ref="I69:I70"/>
    <mergeCell ref="J69:J70"/>
    <mergeCell ref="H81:H82"/>
    <mergeCell ref="J81:J82"/>
    <mergeCell ref="H65:H66"/>
    <mergeCell ref="I65:I66"/>
    <mergeCell ref="J65:J66"/>
    <mergeCell ref="H55:H56"/>
    <mergeCell ref="I55:I56"/>
    <mergeCell ref="I81:I82"/>
    <mergeCell ref="G69:G70"/>
    <mergeCell ref="H69:H70"/>
    <mergeCell ref="E69:E70"/>
    <mergeCell ref="E65:E66"/>
    <mergeCell ref="E59:E60"/>
    <mergeCell ref="E55:E56"/>
    <mergeCell ref="A115:A116"/>
    <mergeCell ref="B115:B116"/>
    <mergeCell ref="C115:C116"/>
    <mergeCell ref="D115:D116"/>
    <mergeCell ref="A3:B3"/>
    <mergeCell ref="A59:A60"/>
    <mergeCell ref="B59:B60"/>
    <mergeCell ref="C59:C60"/>
    <mergeCell ref="C69:C70"/>
    <mergeCell ref="D69:D70"/>
    <mergeCell ref="A11:A13"/>
    <mergeCell ref="B11:B13"/>
    <mergeCell ref="A65:A67"/>
    <mergeCell ref="B65:B67"/>
    <mergeCell ref="C65:C67"/>
    <mergeCell ref="D65:D67"/>
    <mergeCell ref="A40:A41"/>
    <mergeCell ref="B40:B41"/>
    <mergeCell ref="C40:C41"/>
    <mergeCell ref="D40:D41"/>
    <mergeCell ref="A86:A90"/>
    <mergeCell ref="A75:A79"/>
    <mergeCell ref="C75:C79"/>
    <mergeCell ref="D75:D79"/>
    <mergeCell ref="E21:E23"/>
    <mergeCell ref="D47:D50"/>
    <mergeCell ref="A52:A53"/>
    <mergeCell ref="A4:B4"/>
    <mergeCell ref="N115:N116"/>
    <mergeCell ref="A130:A131"/>
    <mergeCell ref="A122:A124"/>
    <mergeCell ref="A125:A128"/>
    <mergeCell ref="B122:B124"/>
    <mergeCell ref="C125:C128"/>
    <mergeCell ref="D122:D124"/>
    <mergeCell ref="N130:N131"/>
    <mergeCell ref="A117:A118"/>
    <mergeCell ref="N117:N118"/>
    <mergeCell ref="C130:C131"/>
    <mergeCell ref="C122:C124"/>
    <mergeCell ref="D117:D118"/>
    <mergeCell ref="H117:H118"/>
    <mergeCell ref="I117:I118"/>
    <mergeCell ref="J117:J118"/>
    <mergeCell ref="B86:B90"/>
    <mergeCell ref="C86:C90"/>
    <mergeCell ref="B101:B102"/>
    <mergeCell ref="B117:B118"/>
    <mergeCell ref="I136:I137"/>
    <mergeCell ref="J136:J137"/>
    <mergeCell ref="H136:H137"/>
    <mergeCell ref="D132:D133"/>
    <mergeCell ref="D134:D135"/>
    <mergeCell ref="D136:D137"/>
    <mergeCell ref="E136:E137"/>
    <mergeCell ref="F136:F137"/>
    <mergeCell ref="G136:G137"/>
    <mergeCell ref="C117:C118"/>
    <mergeCell ref="H115:H116"/>
    <mergeCell ref="I115:I116"/>
    <mergeCell ref="J115:J116"/>
    <mergeCell ref="P180:P182"/>
    <mergeCell ref="O136:O137"/>
    <mergeCell ref="R205:R206"/>
    <mergeCell ref="O168:O171"/>
    <mergeCell ref="N168:N171"/>
    <mergeCell ref="P197:P199"/>
    <mergeCell ref="Q197:Q199"/>
    <mergeCell ref="Q193:Q194"/>
    <mergeCell ref="P200:P201"/>
    <mergeCell ref="Q200:Q201"/>
    <mergeCell ref="R183:R187"/>
    <mergeCell ref="Q188:Q191"/>
    <mergeCell ref="R188:R191"/>
    <mergeCell ref="P188:P191"/>
    <mergeCell ref="N144:N145"/>
    <mergeCell ref="N151:N152"/>
    <mergeCell ref="O144:O145"/>
    <mergeCell ref="N149:N150"/>
    <mergeCell ref="N176:N177"/>
    <mergeCell ref="N174:N175"/>
    <mergeCell ref="S188:S191"/>
    <mergeCell ref="A38:A39"/>
    <mergeCell ref="A227:D227"/>
    <mergeCell ref="B217:M217"/>
    <mergeCell ref="B219:M219"/>
    <mergeCell ref="R180:R182"/>
    <mergeCell ref="S180:S182"/>
    <mergeCell ref="N165:N167"/>
    <mergeCell ref="D158:D160"/>
    <mergeCell ref="B220:M220"/>
    <mergeCell ref="B215:M215"/>
    <mergeCell ref="O209:O210"/>
    <mergeCell ref="A205:A206"/>
    <mergeCell ref="N205:N206"/>
    <mergeCell ref="H67:H68"/>
    <mergeCell ref="G134:G135"/>
    <mergeCell ref="O205:O206"/>
    <mergeCell ref="R149:R150"/>
    <mergeCell ref="N136:N137"/>
    <mergeCell ref="O141:O143"/>
    <mergeCell ref="O165:O167"/>
    <mergeCell ref="O183:O187"/>
    <mergeCell ref="Q168:Q171"/>
    <mergeCell ref="O180:O182"/>
  </mergeCells>
  <hyperlinks>
    <hyperlink ref="K151"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355</v>
      </c>
    </row>
    <row r="3" spans="1:8" x14ac:dyDescent="0.25">
      <c r="A3" s="46" t="s">
        <v>354</v>
      </c>
    </row>
    <row r="5" spans="1:8" ht="45" x14ac:dyDescent="0.25">
      <c r="A5" s="263" t="s">
        <v>0</v>
      </c>
      <c r="B5" s="307" t="s">
        <v>1</v>
      </c>
      <c r="C5" s="307" t="s">
        <v>13</v>
      </c>
      <c r="D5" s="307"/>
      <c r="E5" s="41" t="s">
        <v>14</v>
      </c>
      <c r="F5" s="307" t="s">
        <v>15</v>
      </c>
      <c r="G5" s="314"/>
      <c r="H5" s="314"/>
    </row>
    <row r="6" spans="1:8" x14ac:dyDescent="0.25">
      <c r="A6" s="289"/>
      <c r="B6" s="307"/>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130</v>
      </c>
      <c r="C9" s="48" t="e">
        <f>Лист1!#REF!+Лист1!#REF!+Лист1!N213</f>
        <v>#REF!</v>
      </c>
      <c r="D9" s="48" t="e">
        <f>Лист1!#REF!+Лист1!#REF!+Лист1!O213</f>
        <v>#REF!</v>
      </c>
      <c r="E9" s="48" t="e">
        <f>Лист1!#REF!+Лист1!#REF!+Лист1!P213</f>
        <v>#REF!</v>
      </c>
      <c r="F9" s="48" t="e">
        <f>Лист1!#REF!+Лист1!#REF!+Лист1!Q213</f>
        <v>#REF!</v>
      </c>
      <c r="G9" s="48" t="e">
        <f>Лист1!#REF!+Лист1!#REF!+Лист1!R213</f>
        <v>#REF!</v>
      </c>
      <c r="H9" s="48" t="e">
        <f>Лист1!#REF!+Лист1!#REF!+Лист1!S213</f>
        <v>#REF!</v>
      </c>
    </row>
    <row r="10" spans="1:8" ht="30" x14ac:dyDescent="0.25">
      <c r="A10" s="39">
        <v>2104</v>
      </c>
      <c r="B10" s="39" t="s">
        <v>364</v>
      </c>
      <c r="C10" s="48">
        <f>Лист1!N47</f>
        <v>996763.2</v>
      </c>
      <c r="D10" s="48">
        <f>Лист1!O47</f>
        <v>996763.2</v>
      </c>
      <c r="E10" s="48">
        <f>Лист1!P47</f>
        <v>588000</v>
      </c>
      <c r="F10" s="48">
        <f>Лист1!Q47</f>
        <v>0</v>
      </c>
      <c r="G10" s="48">
        <f>Лист1!R47</f>
        <v>0</v>
      </c>
      <c r="H10" s="48">
        <f>Лист1!S47</f>
        <v>0</v>
      </c>
    </row>
    <row r="11" spans="1:8" ht="45" x14ac:dyDescent="0.25">
      <c r="A11" s="39">
        <v>2105</v>
      </c>
      <c r="B11" s="39" t="s">
        <v>206</v>
      </c>
      <c r="C11" s="48">
        <f>Лист1!N122</f>
        <v>6863420.96</v>
      </c>
      <c r="D11" s="48">
        <f>Лист1!O122</f>
        <v>903915.96</v>
      </c>
      <c r="E11" s="48">
        <f>Лист1!P122</f>
        <v>1610000</v>
      </c>
      <c r="F11" s="48">
        <f>Лист1!Q122</f>
        <v>0</v>
      </c>
      <c r="G11" s="48">
        <f>Лист1!R122</f>
        <v>0</v>
      </c>
      <c r="H11" s="48">
        <f>Лист1!S122</f>
        <v>0</v>
      </c>
    </row>
    <row r="12" spans="1:8" ht="105" x14ac:dyDescent="0.25">
      <c r="A12" s="9">
        <v>2106</v>
      </c>
      <c r="B12" s="9" t="s">
        <v>215</v>
      </c>
      <c r="C12" s="48">
        <f>Лист1!N125</f>
        <v>381063634.57999998</v>
      </c>
      <c r="D12" s="48">
        <f>Лист1!O125</f>
        <v>379062129.31999999</v>
      </c>
      <c r="E12" s="48">
        <f>Лист1!P125</f>
        <v>178072477.25999999</v>
      </c>
      <c r="F12" s="48">
        <f>Лист1!Q125</f>
        <v>72423529</v>
      </c>
      <c r="G12" s="48">
        <f>Лист1!R125</f>
        <v>73223529</v>
      </c>
      <c r="H12" s="48">
        <f>Лист1!S125</f>
        <v>73223529</v>
      </c>
    </row>
    <row r="13" spans="1:8" ht="75" x14ac:dyDescent="0.25">
      <c r="A13" s="39">
        <v>2107</v>
      </c>
      <c r="B13" s="39" t="s">
        <v>38</v>
      </c>
      <c r="C13" s="48">
        <f>Лист1!N130+Лист1!N63+Лист1!N51+Лист1!N11</f>
        <v>65379285.659999996</v>
      </c>
      <c r="D13" s="48">
        <f>Лист1!O130+Лист1!O63+Лист1!O51+Лист1!O11</f>
        <v>62515850.399999999</v>
      </c>
      <c r="E13" s="48">
        <f>Лист1!P130+Лист1!P63+Лист1!P51+Лист1!P11</f>
        <v>16876072.5</v>
      </c>
      <c r="F13" s="48">
        <f>Лист1!Q130+Лист1!Q63+Лист1!Q51+Лист1!Q11</f>
        <v>5723578</v>
      </c>
      <c r="G13" s="48">
        <f>Лист1!R130+Лист1!R63+Лист1!R51+Лист1!R11</f>
        <v>6973578</v>
      </c>
      <c r="H13" s="48">
        <f>Лист1!S130+Лист1!S63+Лист1!S51+Лист1!S11</f>
        <v>5973578</v>
      </c>
    </row>
    <row r="14" spans="1:8" ht="30" x14ac:dyDescent="0.25">
      <c r="A14" s="39">
        <v>2108</v>
      </c>
      <c r="B14" s="39" t="s">
        <v>228</v>
      </c>
      <c r="C14" s="48">
        <f>Лист1!N132</f>
        <v>62921020</v>
      </c>
      <c r="D14" s="48">
        <f>Лист1!O132</f>
        <v>62921000</v>
      </c>
      <c r="E14" s="48">
        <f>Лист1!P132</f>
        <v>67353020</v>
      </c>
      <c r="F14" s="48">
        <f>Лист1!Q132</f>
        <v>67353020</v>
      </c>
      <c r="G14" s="48">
        <f>Лист1!R132</f>
        <v>67353020</v>
      </c>
      <c r="H14" s="48">
        <f>Лист1!S132</f>
        <v>67353020</v>
      </c>
    </row>
    <row r="15" spans="1:8" ht="30" x14ac:dyDescent="0.25">
      <c r="A15" s="39">
        <v>2111</v>
      </c>
      <c r="B15" s="39" t="s">
        <v>138</v>
      </c>
      <c r="C15" s="48">
        <f>Лист1!N75</f>
        <v>42656284.25</v>
      </c>
      <c r="D15" s="48">
        <f>Лист1!O75</f>
        <v>42654763.5</v>
      </c>
      <c r="E15" s="48">
        <f>Лист1!P75</f>
        <v>48027749</v>
      </c>
      <c r="F15" s="48">
        <f>Лист1!Q75</f>
        <v>40952877</v>
      </c>
      <c r="G15" s="48">
        <f>Лист1!R75</f>
        <v>40952877</v>
      </c>
      <c r="H15" s="48">
        <f>Лист1!S75</f>
        <v>40952877</v>
      </c>
    </row>
    <row r="16" spans="1:8" x14ac:dyDescent="0.25">
      <c r="A16" s="39">
        <v>2115</v>
      </c>
      <c r="B16" s="39" t="s">
        <v>151</v>
      </c>
      <c r="C16" s="48">
        <f>Лист1!N81</f>
        <v>740374.75</v>
      </c>
      <c r="D16" s="48">
        <f>Лист1!O81</f>
        <v>740374.75</v>
      </c>
      <c r="E16" s="48">
        <f>Лист1!P81</f>
        <v>994700</v>
      </c>
      <c r="F16" s="48">
        <f>Лист1!Q81</f>
        <v>994700</v>
      </c>
      <c r="G16" s="48">
        <f>Лист1!R81</f>
        <v>1024700</v>
      </c>
      <c r="H16" s="48">
        <f>Лист1!S81</f>
        <v>1024700</v>
      </c>
    </row>
    <row r="17" spans="1:8" ht="165" x14ac:dyDescent="0.25">
      <c r="A17" s="39">
        <v>2117</v>
      </c>
      <c r="B17" s="39" t="s">
        <v>158</v>
      </c>
      <c r="C17" s="48">
        <f>Лист1!N86+Лист1!N180</f>
        <v>618936992.13</v>
      </c>
      <c r="D17" s="48">
        <f>Лист1!O86+Лист1!O180</f>
        <v>617297901.40999997</v>
      </c>
      <c r="E17" s="48">
        <f>Лист1!P86+Лист1!P180</f>
        <v>633604865.38</v>
      </c>
      <c r="F17" s="48">
        <f>Лист1!Q86+Лист1!Q180</f>
        <v>628386587.29999995</v>
      </c>
      <c r="G17" s="48">
        <f>Лист1!R86+Лист1!R180</f>
        <v>551570667.16000009</v>
      </c>
      <c r="H17" s="48">
        <f>Лист1!S86+Лист1!S180</f>
        <v>549508791</v>
      </c>
    </row>
    <row r="18" spans="1:8" ht="30" x14ac:dyDescent="0.25">
      <c r="A18" s="39">
        <v>2119</v>
      </c>
      <c r="B18" s="39" t="s">
        <v>238</v>
      </c>
      <c r="C18" s="48">
        <f>Лист1!N134</f>
        <v>8902000</v>
      </c>
      <c r="D18" s="48">
        <f>Лист1!O134</f>
        <v>8902000</v>
      </c>
      <c r="E18" s="48">
        <f>Лист1!P134</f>
        <v>9383000</v>
      </c>
      <c r="F18" s="48">
        <f>Лист1!Q134</f>
        <v>9383000</v>
      </c>
      <c r="G18" s="48">
        <f>Лист1!R134</f>
        <v>9383000</v>
      </c>
      <c r="H18" s="48">
        <f>Лист1!S134</f>
        <v>9383000</v>
      </c>
    </row>
    <row r="19" spans="1:8" ht="30" x14ac:dyDescent="0.25">
      <c r="A19" s="39">
        <v>2120</v>
      </c>
      <c r="B19" s="39" t="s">
        <v>303</v>
      </c>
      <c r="C19" s="48">
        <f>Лист1!N183</f>
        <v>61274761.840000004</v>
      </c>
      <c r="D19" s="48">
        <f>Лист1!O183</f>
        <v>61274761.840000004</v>
      </c>
      <c r="E19" s="48">
        <f>Лист1!P183</f>
        <v>49972723</v>
      </c>
      <c r="F19" s="48">
        <f>Лист1!Q183</f>
        <v>47163376</v>
      </c>
      <c r="G19" s="48">
        <f>Лист1!R183</f>
        <v>47279476</v>
      </c>
      <c r="H19" s="48">
        <f>Лист1!S183</f>
        <v>47187976</v>
      </c>
    </row>
    <row r="20" spans="1:8" ht="30" x14ac:dyDescent="0.25">
      <c r="A20" s="39">
        <v>2121</v>
      </c>
      <c r="B20" s="39" t="s">
        <v>365</v>
      </c>
      <c r="C20" s="48">
        <f>Лист1!N188</f>
        <v>53744026.039999992</v>
      </c>
      <c r="D20" s="48">
        <f>Лист1!O188</f>
        <v>53744026.039999992</v>
      </c>
      <c r="E20" s="48">
        <f>Лист1!P188</f>
        <v>60655233</v>
      </c>
      <c r="F20" s="48">
        <f>Лист1!Q188</f>
        <v>49563182</v>
      </c>
      <c r="G20" s="48">
        <f>Лист1!R188</f>
        <v>49503182</v>
      </c>
      <c r="H20" s="48">
        <f>Лист1!S188</f>
        <v>49503182</v>
      </c>
    </row>
    <row r="21" spans="1:8" ht="45" x14ac:dyDescent="0.25">
      <c r="A21" s="39">
        <v>2124</v>
      </c>
      <c r="B21" s="39" t="s">
        <v>294</v>
      </c>
      <c r="C21" s="48" t="e">
        <f>Лист1!N158+Лист1!#REF!</f>
        <v>#REF!</v>
      </c>
      <c r="D21" s="48" t="e">
        <f>Лист1!O158+Лист1!#REF!</f>
        <v>#REF!</v>
      </c>
      <c r="E21" s="48" t="e">
        <f>Лист1!P158+Лист1!#REF!</f>
        <v>#REF!</v>
      </c>
      <c r="F21" s="48" t="e">
        <f>Лист1!Q158+Лист1!#REF!</f>
        <v>#REF!</v>
      </c>
      <c r="G21" s="48" t="e">
        <f>Лист1!R158+Лист1!#REF!</f>
        <v>#REF!</v>
      </c>
      <c r="H21" s="48" t="e">
        <f>Лист1!S158+Лист1!#REF!</f>
        <v>#REF!</v>
      </c>
    </row>
    <row r="22" spans="1:8" ht="30" x14ac:dyDescent="0.25">
      <c r="A22" s="39">
        <v>2125</v>
      </c>
      <c r="B22" s="39" t="s">
        <v>241</v>
      </c>
      <c r="C22" s="48">
        <f>Лист1!N136</f>
        <v>58599</v>
      </c>
      <c r="D22" s="48">
        <f>Лист1!O136</f>
        <v>58599</v>
      </c>
      <c r="E22" s="48">
        <f>Лист1!P136</f>
        <v>36000</v>
      </c>
      <c r="F22" s="48">
        <f>Лист1!Q136</f>
        <v>36000</v>
      </c>
      <c r="G22" s="48">
        <f>Лист1!R136</f>
        <v>36000</v>
      </c>
      <c r="H22" s="48">
        <f>Лист1!S136</f>
        <v>36000</v>
      </c>
    </row>
    <row r="23" spans="1:8" x14ac:dyDescent="0.25">
      <c r="A23" s="39">
        <v>2126</v>
      </c>
      <c r="B23" s="39" t="s">
        <v>41</v>
      </c>
      <c r="C23" s="48">
        <f>Лист1!N15</f>
        <v>4355697.99</v>
      </c>
      <c r="D23" s="48">
        <f>Лист1!O15</f>
        <v>4355697.99</v>
      </c>
      <c r="E23" s="48">
        <f>Лист1!P15</f>
        <v>4622129</v>
      </c>
      <c r="F23" s="48">
        <f>Лист1!Q15</f>
        <v>4554091</v>
      </c>
      <c r="G23" s="48">
        <f>Лист1!R15</f>
        <v>4554091</v>
      </c>
      <c r="H23" s="48">
        <f>Лист1!S15</f>
        <v>4554091</v>
      </c>
    </row>
    <row r="24" spans="1:8" x14ac:dyDescent="0.25">
      <c r="A24" s="39">
        <v>2127</v>
      </c>
      <c r="B24" s="39" t="s">
        <v>366</v>
      </c>
      <c r="C24" s="48">
        <f>Лист1!N138</f>
        <v>3137306.33</v>
      </c>
      <c r="D24" s="48">
        <f>Лист1!O138</f>
        <v>3137306.33</v>
      </c>
      <c r="E24" s="48">
        <f>Лист1!P138</f>
        <v>2564000</v>
      </c>
      <c r="F24" s="48">
        <f>Лист1!Q138</f>
        <v>2865800</v>
      </c>
      <c r="G24" s="48">
        <f>Лист1!R138</f>
        <v>2564000</v>
      </c>
      <c r="H24" s="48">
        <f>Лист1!S138</f>
        <v>2564000</v>
      </c>
    </row>
    <row r="25" spans="1:8" x14ac:dyDescent="0.25">
      <c r="A25" s="39">
        <v>2128</v>
      </c>
      <c r="B25" s="39" t="s">
        <v>367</v>
      </c>
      <c r="C25" s="48">
        <f>Лист1!N141</f>
        <v>4797979.8</v>
      </c>
      <c r="D25" s="48">
        <f>Лист1!O141</f>
        <v>4707068.22</v>
      </c>
      <c r="E25" s="48">
        <f>Лист1!P141</f>
        <v>0</v>
      </c>
      <c r="F25" s="48">
        <f>Лист1!Q141</f>
        <v>0</v>
      </c>
      <c r="G25" s="48">
        <f>Лист1!R141</f>
        <v>0</v>
      </c>
      <c r="H25" s="48">
        <f>Лист1!S141</f>
        <v>0</v>
      </c>
    </row>
    <row r="26" spans="1:8" ht="165" x14ac:dyDescent="0.25">
      <c r="A26" s="39">
        <v>2129</v>
      </c>
      <c r="B26" s="39" t="s">
        <v>272</v>
      </c>
      <c r="C26" s="48">
        <f>Лист1!N144</f>
        <v>219480968.06999999</v>
      </c>
      <c r="D26" s="48">
        <f>Лист1!O144</f>
        <v>218323013.43000001</v>
      </c>
      <c r="E26" s="48">
        <f>Лист1!P144</f>
        <v>153021291.33000001</v>
      </c>
      <c r="F26" s="48">
        <f>Лист1!Q144</f>
        <v>90130700.819999993</v>
      </c>
      <c r="G26" s="48">
        <f>Лист1!R144</f>
        <v>52867818.710000001</v>
      </c>
      <c r="H26" s="48">
        <f>Лист1!S144</f>
        <v>53867800</v>
      </c>
    </row>
    <row r="27" spans="1:8" ht="180" x14ac:dyDescent="0.25">
      <c r="A27" s="39">
        <v>2130</v>
      </c>
      <c r="B27" s="39" t="s">
        <v>114</v>
      </c>
      <c r="C27" s="48">
        <f>Лист1!N52+Лист1!N200</f>
        <v>2515161.96</v>
      </c>
      <c r="D27" s="48">
        <f>Лист1!O52+Лист1!O200</f>
        <v>2515161.96</v>
      </c>
      <c r="E27" s="48">
        <f>Лист1!P52+Лист1!P200</f>
        <v>6626000</v>
      </c>
      <c r="F27" s="48">
        <f>Лист1!Q52+Лист1!Q200</f>
        <v>800000</v>
      </c>
      <c r="G27" s="48">
        <f>Лист1!R52+Лист1!R200</f>
        <v>800000</v>
      </c>
      <c r="H27" s="48">
        <f>Лист1!S52+Лист1!S200</f>
        <v>800000</v>
      </c>
    </row>
    <row r="28" spans="1:8" ht="30" x14ac:dyDescent="0.25">
      <c r="A28" s="39">
        <v>2131</v>
      </c>
      <c r="B28" s="39" t="s">
        <v>368</v>
      </c>
      <c r="C28" s="48">
        <f>Лист1!N202</f>
        <v>395600</v>
      </c>
      <c r="D28" s="48">
        <f>Лист1!O202</f>
        <v>257600</v>
      </c>
      <c r="E28" s="48">
        <f>Лист1!P202</f>
        <v>500000</v>
      </c>
      <c r="F28" s="48">
        <f>Лист1!Q202</f>
        <v>100000</v>
      </c>
      <c r="G28" s="48">
        <f>Лист1!R202</f>
        <v>100000</v>
      </c>
      <c r="H28" s="48">
        <f>Лист1!S202</f>
        <v>100000</v>
      </c>
    </row>
    <row r="29" spans="1:8" ht="61.5" customHeight="1" x14ac:dyDescent="0.25">
      <c r="A29" s="39">
        <v>2138</v>
      </c>
      <c r="B29" s="39" t="s">
        <v>369</v>
      </c>
      <c r="C29" s="48" t="e">
        <f>Лист1!#REF!+Лист1!N17</f>
        <v>#REF!</v>
      </c>
      <c r="D29" s="48" t="e">
        <f>Лист1!#REF!+Лист1!O17</f>
        <v>#REF!</v>
      </c>
      <c r="E29" s="48" t="e">
        <f>Лист1!#REF!+Лист1!P17</f>
        <v>#REF!</v>
      </c>
      <c r="F29" s="48" t="e">
        <f>Лист1!#REF!+Лист1!Q17</f>
        <v>#REF!</v>
      </c>
      <c r="G29" s="48" t="e">
        <f>Лист1!#REF!+Лист1!R17</f>
        <v>#REF!</v>
      </c>
      <c r="H29" s="48" t="e">
        <f>Лист1!#REF!+Лист1!S17</f>
        <v>#REF!</v>
      </c>
    </row>
    <row r="30" spans="1:8" ht="30" x14ac:dyDescent="0.25">
      <c r="A30" s="39">
        <v>2139</v>
      </c>
      <c r="B30" s="39" t="s">
        <v>286</v>
      </c>
      <c r="C30" s="48">
        <f>Лист1!N168</f>
        <v>69163990.099999994</v>
      </c>
      <c r="D30" s="48">
        <f>Лист1!O168</f>
        <v>69120927.099999994</v>
      </c>
      <c r="E30" s="48">
        <f>Лист1!P168</f>
        <v>26972309</v>
      </c>
      <c r="F30" s="48">
        <f>Лист1!Q168</f>
        <v>23463844</v>
      </c>
      <c r="G30" s="48">
        <f>Лист1!R168</f>
        <v>23463844</v>
      </c>
      <c r="H30" s="48">
        <f>Лист1!S168</f>
        <v>23463844</v>
      </c>
    </row>
    <row r="31" spans="1:8" ht="30" x14ac:dyDescent="0.25">
      <c r="A31" s="64">
        <v>2141</v>
      </c>
      <c r="B31" s="64" t="str">
        <f>Лист1!B31</f>
        <v>поддержка деятельности некоммерческих организаций, за исключением социально ориентированных организациq</v>
      </c>
      <c r="C31" s="48">
        <f>Лист1!N31</f>
        <v>450810</v>
      </c>
      <c r="D31" s="48">
        <f>Лист1!O31</f>
        <v>450810</v>
      </c>
      <c r="E31" s="48">
        <f>Лист1!P31</f>
        <v>490679</v>
      </c>
      <c r="F31" s="48">
        <f>Лист1!Q31</f>
        <v>490679</v>
      </c>
      <c r="G31" s="48">
        <f>Лист1!R31</f>
        <v>490679</v>
      </c>
      <c r="H31" s="48">
        <f>Лист1!S31</f>
        <v>490679</v>
      </c>
    </row>
    <row r="32" spans="1:8" ht="24" customHeight="1" x14ac:dyDescent="0.25">
      <c r="A32" s="39">
        <v>2201</v>
      </c>
      <c r="B32" s="39" t="str">
        <f>Лист1!B25</f>
        <v xml:space="preserve">материально-техническое и финансовое обеспечение деятельности органов местного самоуправления </v>
      </c>
      <c r="C32" s="48" t="e">
        <f>Лист1!N25+Лист1!N104+Лист1!#REF!+Лист1!N149+Лист1!N174+Лист1!N193+Лист1!N205+Лист1!N209</f>
        <v>#REF!</v>
      </c>
      <c r="D32" s="48" t="e">
        <f>Лист1!O25+Лист1!O104+Лист1!#REF!+Лист1!O149+Лист1!O174+Лист1!O193+Лист1!O205+Лист1!O209</f>
        <v>#REF!</v>
      </c>
      <c r="E32" s="48" t="e">
        <f>Лист1!P25+Лист1!P104+Лист1!#REF!+Лист1!P149+Лист1!P174+Лист1!P193+Лист1!P205+Лист1!P209</f>
        <v>#REF!</v>
      </c>
      <c r="F32" s="48" t="e">
        <f>Лист1!Q25+Лист1!Q104+Лист1!#REF!+Лист1!Q149+Лист1!Q174+Лист1!Q193+Лист1!Q205+Лист1!Q209</f>
        <v>#REF!</v>
      </c>
      <c r="G32" s="48" t="e">
        <f>Лист1!R25+Лист1!R104+Лист1!#REF!+Лист1!R149+Лист1!R174+Лист1!R193+Лист1!R205+Лист1!R209</f>
        <v>#REF!</v>
      </c>
      <c r="H32" s="48" t="e">
        <f>Лист1!S25+Лист1!S104+Лист1!#REF!+Лист1!S149+Лист1!S174+Лист1!S193+Лист1!S205+Лист1!S209</f>
        <v>#REF!</v>
      </c>
    </row>
    <row r="33" spans="1:8" x14ac:dyDescent="0.25">
      <c r="A33" s="39">
        <v>2202</v>
      </c>
      <c r="B33" s="39" t="s">
        <v>370</v>
      </c>
      <c r="C33" s="48">
        <f>Лист1!N69</f>
        <v>0</v>
      </c>
      <c r="D33" s="48">
        <f>Лист1!O69</f>
        <v>0</v>
      </c>
      <c r="E33" s="48">
        <f>Лист1!P69</f>
        <v>4477</v>
      </c>
      <c r="F33" s="48">
        <f>Лист1!Q69</f>
        <v>0</v>
      </c>
      <c r="G33" s="48">
        <f>Лист1!R69</f>
        <v>0</v>
      </c>
      <c r="H33" s="48">
        <f>Лист1!S69</f>
        <v>0</v>
      </c>
    </row>
    <row r="34" spans="1:8" ht="60" x14ac:dyDescent="0.25">
      <c r="A34" s="40">
        <v>2206</v>
      </c>
      <c r="B34" s="39" t="s">
        <v>357</v>
      </c>
      <c r="C34" s="48" t="e">
        <f>Лист1!N27+Лист1!#REF!+Лист1!N151+Лист1!N176</f>
        <v>#REF!</v>
      </c>
      <c r="D34" s="48" t="e">
        <f>Лист1!O27+Лист1!#REF!+Лист1!O151+Лист1!O176</f>
        <v>#REF!</v>
      </c>
      <c r="E34" s="48" t="e">
        <f>Лист1!P27+Лист1!#REF!+Лист1!P151+Лист1!P176</f>
        <v>#REF!</v>
      </c>
      <c r="F34" s="48" t="e">
        <f>Лист1!Q27+Лист1!#REF!+Лист1!Q151+Лист1!Q176</f>
        <v>#REF!</v>
      </c>
      <c r="G34" s="48" t="e">
        <f>Лист1!R27+Лист1!#REF!+Лист1!R151+Лист1!R176</f>
        <v>#REF!</v>
      </c>
      <c r="H34" s="48" t="e">
        <f>Лист1!S27+Лист1!#REF!+Лист1!S151+Лист1!S176</f>
        <v>#REF!</v>
      </c>
    </row>
    <row r="35" spans="1:8" ht="75" x14ac:dyDescent="0.25">
      <c r="A35" s="39">
        <v>2211</v>
      </c>
      <c r="B35" s="64" t="s">
        <v>372</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339</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359</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358</v>
      </c>
      <c r="C39" s="48">
        <f>Лист1!N35</f>
        <v>327190</v>
      </c>
      <c r="D39" s="48">
        <f>Лист1!O35</f>
        <v>327190</v>
      </c>
      <c r="E39" s="48">
        <f>Лист1!P35</f>
        <v>345100</v>
      </c>
      <c r="F39" s="48">
        <f>Лист1!Q35</f>
        <v>345100</v>
      </c>
      <c r="G39" s="48">
        <f>Лист1!R35</f>
        <v>345100</v>
      </c>
      <c r="H39" s="48">
        <f>Лист1!S35</f>
        <v>345100</v>
      </c>
    </row>
    <row r="40" spans="1:8" ht="135" x14ac:dyDescent="0.25">
      <c r="A40" s="9">
        <v>2622</v>
      </c>
      <c r="B40" s="9" t="s">
        <v>373</v>
      </c>
      <c r="C40" s="48" t="e">
        <f>Лист1!#REF!+Лист1!N108+Лист1!N111+Лист1!#REF!</f>
        <v>#REF!</v>
      </c>
      <c r="D40" s="48" t="e">
        <f>Лист1!#REF!+Лист1!O108+Лист1!O111+Лист1!#REF!</f>
        <v>#REF!</v>
      </c>
      <c r="E40" s="48" t="e">
        <f>Лист1!#REF!+Лист1!P108+Лист1!P111+Лист1!#REF!</f>
        <v>#REF!</v>
      </c>
      <c r="F40" s="48" t="e">
        <f>Лист1!#REF!+Лист1!Q108+Лист1!Q111+Лист1!#REF!</f>
        <v>#REF!</v>
      </c>
      <c r="G40" s="48" t="e">
        <f>Лист1!#REF!+Лист1!R108+Лист1!R111+Лист1!#REF!</f>
        <v>#REF!</v>
      </c>
      <c r="H40" s="48" t="e">
        <f>Лист1!#REF!+Лист1!S108+Лист1!S111+Лист1!#REF!</f>
        <v>#REF!</v>
      </c>
    </row>
    <row r="41" spans="1:8" ht="30" x14ac:dyDescent="0.25">
      <c r="A41" s="39">
        <v>2628</v>
      </c>
      <c r="B41" s="39" t="s">
        <v>360</v>
      </c>
      <c r="C41" s="48">
        <f>Лист1!N59</f>
        <v>47158000</v>
      </c>
      <c r="D41" s="48">
        <f>Лист1!O59</f>
        <v>47155895.030000001</v>
      </c>
      <c r="E41" s="48">
        <f>Лист1!P59</f>
        <v>102421300</v>
      </c>
      <c r="F41" s="48">
        <f>Лист1!Q59</f>
        <v>86486000</v>
      </c>
      <c r="G41" s="48">
        <f>Лист1!R59</f>
        <v>86486000</v>
      </c>
      <c r="H41" s="48">
        <f>Лист1!S59</f>
        <v>86486000</v>
      </c>
    </row>
    <row r="42" spans="1:8" ht="180" x14ac:dyDescent="0.25">
      <c r="A42" s="9">
        <v>2640</v>
      </c>
      <c r="B42" s="9" t="s">
        <v>374</v>
      </c>
      <c r="C42" s="48" t="e">
        <f>Лист1!N110+Лист1!#REF!+Лист1!#REF!+Лист1!#REF!</f>
        <v>#REF!</v>
      </c>
      <c r="D42" s="48" t="e">
        <f>Лист1!O110+Лист1!#REF!+Лист1!#REF!+Лист1!#REF!</f>
        <v>#REF!</v>
      </c>
      <c r="E42" s="48" t="e">
        <f>Лист1!P110+Лист1!#REF!+Лист1!#REF!+Лист1!#REF!</f>
        <v>#REF!</v>
      </c>
      <c r="F42" s="48" t="e">
        <f>Лист1!Q110+Лист1!#REF!+Лист1!#REF!+Лист1!#REF!</f>
        <v>#REF!</v>
      </c>
      <c r="G42" s="48" t="e">
        <f>Лист1!R110+Лист1!#REF!+Лист1!#REF!+Лист1!#REF!</f>
        <v>#REF!</v>
      </c>
      <c r="H42" s="48" t="e">
        <f>Лист1!S110+Лист1!#REF!+Лист1!#REF!+Лист1!#REF!</f>
        <v>#REF!</v>
      </c>
    </row>
    <row r="43" spans="1:8" ht="75" x14ac:dyDescent="0.25">
      <c r="A43" s="39">
        <v>2641</v>
      </c>
      <c r="B43" s="39" t="s">
        <v>375</v>
      </c>
      <c r="C43" s="48">
        <f>Лист1!N36+Лист1!N38+Лист1!N40</f>
        <v>4107800</v>
      </c>
      <c r="D43" s="48">
        <f>Лист1!O36+Лист1!O38+Лист1!O40</f>
        <v>4104226.14</v>
      </c>
      <c r="E43" s="48">
        <f>Лист1!P36+Лист1!P38+Лист1!P40</f>
        <v>4278800</v>
      </c>
      <c r="F43" s="48">
        <f>Лист1!Q36+Лист1!Q38+Лист1!Q40</f>
        <v>4278800</v>
      </c>
      <c r="G43" s="48">
        <f>Лист1!R36+Лист1!R38+Лист1!R40</f>
        <v>4278800</v>
      </c>
      <c r="H43" s="48">
        <f>Лист1!S36+Лист1!S38+Лист1!S40</f>
        <v>4278800</v>
      </c>
    </row>
    <row r="44" spans="1:8" x14ac:dyDescent="0.25">
      <c r="A44" s="39">
        <v>2642</v>
      </c>
      <c r="B44" s="9" t="s">
        <v>361</v>
      </c>
      <c r="C44" s="48">
        <f>Лист1!N113</f>
        <v>10611640</v>
      </c>
      <c r="D44" s="48">
        <f>Лист1!O113</f>
        <v>10604878.49</v>
      </c>
      <c r="E44" s="48">
        <f>Лист1!P113</f>
        <v>11057900</v>
      </c>
      <c r="F44" s="48">
        <f>Лист1!Q113</f>
        <v>11057900</v>
      </c>
      <c r="G44" s="48">
        <f>Лист1!R113</f>
        <v>11057900</v>
      </c>
      <c r="H44" s="48">
        <f>Лист1!S113</f>
        <v>11057900</v>
      </c>
    </row>
    <row r="45" spans="1:8" ht="105" x14ac:dyDescent="0.25">
      <c r="A45" s="72">
        <v>2643</v>
      </c>
      <c r="B45" s="73" t="s">
        <v>378</v>
      </c>
      <c r="C45" s="48">
        <f>Лист1!N112</f>
        <v>17250300</v>
      </c>
      <c r="D45" s="48">
        <f>Лист1!O112</f>
        <v>17036817.27</v>
      </c>
      <c r="E45" s="48">
        <f>Лист1!P112</f>
        <v>20847700</v>
      </c>
      <c r="F45" s="48">
        <f>Лист1!Q112</f>
        <v>20441800</v>
      </c>
      <c r="G45" s="48">
        <f>Лист1!R112</f>
        <v>20441800</v>
      </c>
      <c r="H45" s="48">
        <f>Лист1!S112</f>
        <v>20441800</v>
      </c>
    </row>
    <row r="46" spans="1:8" ht="60" x14ac:dyDescent="0.25">
      <c r="A46" s="9">
        <v>2660</v>
      </c>
      <c r="B46" s="9" t="s">
        <v>363</v>
      </c>
      <c r="C46" s="48">
        <f>Лист1!N155</f>
        <v>3276760</v>
      </c>
      <c r="D46" s="48">
        <f>Лист1!O155</f>
        <v>3273650</v>
      </c>
      <c r="E46" s="48">
        <f>Лист1!P155</f>
        <v>2446800</v>
      </c>
      <c r="F46" s="48">
        <f>Лист1!Q155</f>
        <v>2364500</v>
      </c>
      <c r="G46" s="48">
        <f>Лист1!R155</f>
        <v>2364500</v>
      </c>
      <c r="H46" s="48">
        <f>Лист1!S155</f>
        <v>2364500</v>
      </c>
    </row>
    <row r="47" spans="1:8" ht="45" x14ac:dyDescent="0.25">
      <c r="A47" s="39">
        <v>2670</v>
      </c>
      <c r="B47" s="39" t="s">
        <v>362</v>
      </c>
      <c r="C47" s="48">
        <f>Лист1!N154</f>
        <v>18964300</v>
      </c>
      <c r="D47" s="48">
        <f>Лист1!O154</f>
        <v>10425697.83</v>
      </c>
      <c r="E47" s="48">
        <f>Лист1!P154</f>
        <v>32343600</v>
      </c>
      <c r="F47" s="48">
        <f>Лист1!Q154</f>
        <v>32343600</v>
      </c>
      <c r="G47" s="48">
        <f>Лист1!R154</f>
        <v>32343600</v>
      </c>
      <c r="H47" s="48">
        <f>Лист1!S154</f>
        <v>32343600</v>
      </c>
    </row>
    <row r="48" spans="1:8" x14ac:dyDescent="0.25">
      <c r="A48" s="19"/>
      <c r="B48" s="51" t="s">
        <v>356</v>
      </c>
      <c r="C48" s="49" t="e">
        <f>C8+C37</f>
        <v>#REF!</v>
      </c>
      <c r="D48" s="49" t="e">
        <f>D37+D8</f>
        <v>#REF!</v>
      </c>
      <c r="E48" s="49" t="e">
        <f>E37+E8</f>
        <v>#REF!</v>
      </c>
      <c r="F48" s="49" t="e">
        <f>F37+F8</f>
        <v>#REF!</v>
      </c>
      <c r="G48" s="49" t="e">
        <f>G37+G8</f>
        <v>#REF!</v>
      </c>
      <c r="H48" s="49" t="e">
        <f>H37+H8</f>
        <v>#REF!</v>
      </c>
    </row>
    <row r="49" spans="2:8" x14ac:dyDescent="0.25">
      <c r="B49" s="35" t="s">
        <v>376</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30"/>
  <sheetViews>
    <sheetView workbookViewId="0">
      <selection activeCell="G20" sqref="G20:H20"/>
    </sheetView>
  </sheetViews>
  <sheetFormatPr defaultRowHeight="15" x14ac:dyDescent="0.25"/>
  <cols>
    <col min="3" max="3" width="16.42578125" customWidth="1"/>
    <col min="4" max="4" width="14.5703125" customWidth="1"/>
    <col min="5" max="5" width="17.42578125" customWidth="1"/>
    <col min="7" max="8" width="15" bestFit="1" customWidth="1"/>
    <col min="9" max="9" width="16.5703125" customWidth="1"/>
    <col min="10" max="10" width="16.28515625" customWidth="1"/>
    <col min="11" max="11" width="19.42578125" customWidth="1"/>
  </cols>
  <sheetData>
    <row r="4" spans="3:11" x14ac:dyDescent="0.25">
      <c r="C4" s="50">
        <v>1951695373</v>
      </c>
      <c r="D4" s="50">
        <v>1946711969</v>
      </c>
      <c r="E4" s="50">
        <v>1871122275</v>
      </c>
      <c r="G4" s="50">
        <v>1859357169.3199999</v>
      </c>
      <c r="H4" s="50">
        <v>1842433457</v>
      </c>
    </row>
    <row r="5" spans="3:11" x14ac:dyDescent="0.25">
      <c r="C5" s="50">
        <v>177104900</v>
      </c>
      <c r="D5" s="50">
        <v>177104900</v>
      </c>
      <c r="E5" s="50">
        <v>177104900</v>
      </c>
      <c r="G5" s="50">
        <v>145437220</v>
      </c>
      <c r="H5" s="50">
        <v>145437184</v>
      </c>
      <c r="I5" s="191"/>
      <c r="J5" s="191"/>
      <c r="K5" s="191"/>
    </row>
    <row r="6" spans="3:11" x14ac:dyDescent="0.25">
      <c r="C6" s="50">
        <v>3526000</v>
      </c>
      <c r="D6" s="50">
        <v>3526000</v>
      </c>
      <c r="E6" s="50">
        <v>3526000</v>
      </c>
      <c r="G6" s="50">
        <v>2943470</v>
      </c>
      <c r="H6" s="50">
        <v>1954200</v>
      </c>
      <c r="I6" s="191"/>
      <c r="J6" s="191"/>
      <c r="K6" s="191"/>
    </row>
    <row r="7" spans="3:11" x14ac:dyDescent="0.25">
      <c r="C7" s="50">
        <v>341227900</v>
      </c>
      <c r="D7" s="50">
        <v>341227900</v>
      </c>
      <c r="E7" s="50">
        <v>341227900</v>
      </c>
      <c r="G7" s="50">
        <v>338465710.61000001</v>
      </c>
      <c r="H7" s="50">
        <v>338465710.61000001</v>
      </c>
      <c r="I7" s="191"/>
      <c r="J7" s="191"/>
      <c r="K7" s="191"/>
    </row>
    <row r="8" spans="3:11" x14ac:dyDescent="0.25">
      <c r="C8" s="50">
        <v>121229300</v>
      </c>
      <c r="D8" s="50">
        <v>121229300</v>
      </c>
      <c r="E8" s="50">
        <v>121229300</v>
      </c>
      <c r="G8" s="50">
        <v>101456791</v>
      </c>
      <c r="H8" s="50">
        <v>97131391</v>
      </c>
      <c r="I8" s="191"/>
      <c r="J8" s="191"/>
      <c r="K8" s="191"/>
    </row>
    <row r="9" spans="3:11" x14ac:dyDescent="0.25">
      <c r="C9" s="50">
        <v>475603100</v>
      </c>
      <c r="D9" s="50">
        <v>475603100</v>
      </c>
      <c r="E9" s="50">
        <v>475603100</v>
      </c>
      <c r="G9" s="50">
        <v>472413899</v>
      </c>
      <c r="H9" s="50">
        <v>472413899</v>
      </c>
      <c r="I9" s="191"/>
      <c r="J9" s="191"/>
      <c r="K9" s="191"/>
    </row>
    <row r="10" spans="3:11" x14ac:dyDescent="0.25">
      <c r="C10" s="50">
        <v>46855900</v>
      </c>
      <c r="D10" s="50">
        <v>46351500</v>
      </c>
      <c r="E10" s="50">
        <v>46351500</v>
      </c>
      <c r="G10" s="50">
        <v>37713600</v>
      </c>
      <c r="H10" s="50">
        <v>33365974.949999999</v>
      </c>
      <c r="I10" s="191"/>
      <c r="J10" s="191"/>
      <c r="K10" s="191"/>
    </row>
    <row r="11" spans="3:11" x14ac:dyDescent="0.25">
      <c r="C11" s="50">
        <v>27345200</v>
      </c>
      <c r="D11" s="50">
        <v>27345200</v>
      </c>
      <c r="E11" s="50">
        <v>27345200</v>
      </c>
      <c r="G11" s="50">
        <v>28276107.149999999</v>
      </c>
      <c r="H11" s="50">
        <v>27859547.149999999</v>
      </c>
      <c r="I11" s="191"/>
      <c r="J11" s="191"/>
      <c r="K11" s="191"/>
    </row>
    <row r="12" spans="3:11" x14ac:dyDescent="0.25">
      <c r="C12" s="50">
        <v>20847700</v>
      </c>
      <c r="D12" s="50">
        <v>20441800</v>
      </c>
      <c r="E12" s="50">
        <v>20441800</v>
      </c>
      <c r="G12" s="50">
        <v>17250300</v>
      </c>
      <c r="H12" s="50">
        <v>17036817.27</v>
      </c>
      <c r="I12" s="191"/>
      <c r="J12" s="191"/>
      <c r="K12" s="191"/>
    </row>
    <row r="13" spans="3:11" x14ac:dyDescent="0.25">
      <c r="C13" s="50">
        <v>11057900</v>
      </c>
      <c r="D13" s="50">
        <v>11057900</v>
      </c>
      <c r="E13" s="50">
        <v>11057900</v>
      </c>
      <c r="G13" s="50">
        <v>10611640</v>
      </c>
      <c r="H13" s="50">
        <v>10604878.49</v>
      </c>
      <c r="I13" s="191"/>
      <c r="J13" s="191"/>
      <c r="K13" s="191"/>
    </row>
    <row r="14" spans="3:11" x14ac:dyDescent="0.25">
      <c r="C14" s="50">
        <v>12270100</v>
      </c>
      <c r="D14" s="50">
        <v>12270100</v>
      </c>
      <c r="E14" s="50">
        <v>12270100</v>
      </c>
      <c r="G14" s="50">
        <v>5845000</v>
      </c>
      <c r="H14" s="50">
        <v>4847444.51</v>
      </c>
      <c r="I14" s="191"/>
      <c r="J14" s="191"/>
      <c r="K14" s="191"/>
    </row>
    <row r="15" spans="3:11" x14ac:dyDescent="0.25">
      <c r="C15" s="50"/>
      <c r="D15" s="50"/>
      <c r="E15" s="50"/>
      <c r="I15" s="191"/>
      <c r="J15" s="191"/>
      <c r="K15" s="191"/>
    </row>
    <row r="16" spans="3:11" x14ac:dyDescent="0.25">
      <c r="C16" s="50">
        <v>9189913</v>
      </c>
      <c r="D16" s="50">
        <v>9191389</v>
      </c>
      <c r="E16" s="50">
        <v>9191389</v>
      </c>
      <c r="G16" s="50">
        <v>8587761.3200000003</v>
      </c>
      <c r="H16" s="50">
        <v>8433445.6699999999</v>
      </c>
      <c r="I16" s="191"/>
      <c r="J16" s="191"/>
      <c r="K16" s="191"/>
    </row>
    <row r="17" spans="3:11" x14ac:dyDescent="0.25">
      <c r="C17" s="50">
        <v>60249683</v>
      </c>
      <c r="D17" s="50">
        <v>59977346</v>
      </c>
      <c r="E17" s="50">
        <v>59977346</v>
      </c>
      <c r="G17" s="50">
        <v>60306383.950000003</v>
      </c>
      <c r="H17" s="50">
        <v>56558215.409999996</v>
      </c>
      <c r="I17" s="191"/>
      <c r="J17" s="191"/>
      <c r="K17" s="191"/>
    </row>
    <row r="18" spans="3:11" x14ac:dyDescent="0.25">
      <c r="C18" s="161">
        <v>64310610.619999997</v>
      </c>
      <c r="D18" s="161">
        <v>64310610.700000003</v>
      </c>
      <c r="E18" s="161">
        <v>65536836.840000004</v>
      </c>
      <c r="G18" s="50">
        <v>57604848.280000001</v>
      </c>
      <c r="H18" s="50">
        <v>57519401.649999999</v>
      </c>
      <c r="I18" s="191"/>
      <c r="J18" s="191"/>
      <c r="K18" s="191"/>
    </row>
    <row r="19" spans="3:11" x14ac:dyDescent="0.25">
      <c r="C19" s="50">
        <f>SUM(C5:C18)</f>
        <v>1370818206.6199999</v>
      </c>
      <c r="D19" s="50">
        <f t="shared" ref="D19:E19" si="0">SUM(D5:D18)</f>
        <v>1369637045.7</v>
      </c>
      <c r="E19" s="50">
        <f t="shared" si="0"/>
        <v>1370863271.8399999</v>
      </c>
      <c r="G19" s="50">
        <f>SUM(G5:G18)</f>
        <v>1286912731.3100002</v>
      </c>
      <c r="H19" s="50">
        <f>SUM(H5:H18)</f>
        <v>1271628109.7100003</v>
      </c>
      <c r="I19" s="50"/>
      <c r="J19" s="50"/>
    </row>
    <row r="20" spans="3:11" x14ac:dyDescent="0.25">
      <c r="C20" s="50">
        <f>C4-C19</f>
        <v>580877166.38000011</v>
      </c>
      <c r="D20" s="50">
        <f t="shared" ref="D20:E20" si="1">D4-D19</f>
        <v>577074923.29999995</v>
      </c>
      <c r="E20" s="50">
        <f t="shared" si="1"/>
        <v>500259003.16000009</v>
      </c>
      <c r="G20" s="161">
        <f>G4-G19</f>
        <v>572444438.00999975</v>
      </c>
      <c r="H20" s="161">
        <f>H4-H19</f>
        <v>570805347.28999972</v>
      </c>
      <c r="I20" s="50"/>
      <c r="J20" s="50"/>
    </row>
    <row r="21" spans="3:11" x14ac:dyDescent="0.25">
      <c r="C21" s="50"/>
      <c r="D21" s="50"/>
      <c r="E21" s="50"/>
      <c r="I21" s="50"/>
      <c r="J21" s="50"/>
    </row>
    <row r="22" spans="3:11" x14ac:dyDescent="0.25">
      <c r="C22" s="50"/>
      <c r="D22" s="50"/>
      <c r="E22" s="50"/>
      <c r="I22" s="50"/>
      <c r="J22" s="50"/>
    </row>
    <row r="23" spans="3:11" x14ac:dyDescent="0.25">
      <c r="C23" s="50"/>
      <c r="D23" s="50"/>
      <c r="E23" s="50"/>
      <c r="I23" s="50"/>
      <c r="J23" s="50"/>
    </row>
    <row r="24" spans="3:11" x14ac:dyDescent="0.25">
      <c r="C24" s="50"/>
      <c r="D24" s="50"/>
      <c r="E24" s="50"/>
      <c r="I24" s="50"/>
      <c r="J24" s="50"/>
    </row>
    <row r="25" spans="3:11" x14ac:dyDescent="0.25">
      <c r="C25" s="50"/>
      <c r="D25" s="50"/>
      <c r="E25" s="50"/>
      <c r="I25" s="50"/>
      <c r="J25" s="50"/>
    </row>
    <row r="26" spans="3:11" x14ac:dyDescent="0.25">
      <c r="C26" s="50"/>
      <c r="D26" s="50"/>
      <c r="E26" s="50"/>
      <c r="I26" s="50"/>
      <c r="J26" s="50"/>
    </row>
    <row r="27" spans="3:11" x14ac:dyDescent="0.25">
      <c r="C27" s="50"/>
      <c r="D27" s="50"/>
      <c r="E27" s="50"/>
      <c r="I27" s="50"/>
      <c r="J27" s="50"/>
    </row>
    <row r="28" spans="3:11" x14ac:dyDescent="0.25">
      <c r="C28" s="50"/>
      <c r="D28" s="50"/>
      <c r="E28" s="50"/>
      <c r="I28" s="50"/>
      <c r="J28" s="50"/>
    </row>
    <row r="29" spans="3:11" x14ac:dyDescent="0.25">
      <c r="C29" s="50"/>
      <c r="D29" s="50"/>
      <c r="E29" s="50"/>
      <c r="I29" s="50"/>
      <c r="J29" s="50"/>
    </row>
    <row r="30" spans="3:11" x14ac:dyDescent="0.25">
      <c r="C30" s="50"/>
      <c r="D30" s="50"/>
      <c r="E30" s="50"/>
      <c r="I30" s="50"/>
      <c r="J30"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2023-03-23T03:09:41Z</dcterms:modified>
</cp:coreProperties>
</file>